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Srvr\копия\Евгения\Банкротство Инвест-М\КОНКУРС\торги\Торги на 29.04.2022\Информация для заявителей\"/>
    </mc:Choice>
  </mc:AlternateContent>
  <xr:revisionPtr revIDLastSave="0" documentId="8_{5FE19D60-BDD1-45A6-8C00-354DAAF3E648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_xlnm.Print_Area" localSheetId="0">Лист1!$A$1:$R$33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4" i="1" l="1"/>
  <c r="Q33" i="1"/>
  <c r="O33" i="1" s="1"/>
  <c r="P33" i="1"/>
  <c r="K33" i="1"/>
  <c r="J33" i="1"/>
  <c r="G33" i="1"/>
  <c r="Q32" i="1"/>
  <c r="O32" i="1" s="1"/>
  <c r="P32" i="1"/>
  <c r="Q31" i="1"/>
  <c r="O31" i="1" s="1"/>
  <c r="P31" i="1"/>
  <c r="J31" i="1"/>
  <c r="J30" i="1"/>
  <c r="J29" i="1"/>
  <c r="J28" i="1"/>
  <c r="Q27" i="1"/>
  <c r="G27" i="1" s="1"/>
  <c r="K27" i="1" s="1"/>
  <c r="P27" i="1"/>
  <c r="J27" i="1"/>
  <c r="Q26" i="1"/>
  <c r="G26" i="1" s="1"/>
  <c r="K26" i="1" s="1"/>
  <c r="P26" i="1"/>
  <c r="J26" i="1"/>
  <c r="Q25" i="1"/>
  <c r="G25" i="1" s="1"/>
  <c r="K25" i="1" s="1"/>
  <c r="P25" i="1"/>
  <c r="J25" i="1"/>
  <c r="J24" i="1"/>
  <c r="G24" i="1"/>
  <c r="K24" i="1" s="1"/>
  <c r="Q23" i="1"/>
  <c r="O23" i="1" s="1"/>
  <c r="P23" i="1"/>
  <c r="J23" i="1"/>
  <c r="Q22" i="1"/>
  <c r="O22" i="1" s="1"/>
  <c r="P22" i="1"/>
  <c r="J22" i="1"/>
  <c r="Q21" i="1"/>
  <c r="G21" i="1" s="1"/>
  <c r="K21" i="1" s="1"/>
  <c r="P21" i="1"/>
  <c r="N21" i="1"/>
  <c r="O21" i="1" s="1"/>
  <c r="Q20" i="1"/>
  <c r="O20" i="1" s="1"/>
  <c r="P20" i="1"/>
  <c r="G20" i="1"/>
  <c r="K20" i="1" s="1"/>
  <c r="Q18" i="1"/>
  <c r="O18" i="1" s="1"/>
  <c r="P18" i="1"/>
  <c r="Q17" i="1"/>
  <c r="O17" i="1" s="1"/>
  <c r="P17" i="1"/>
  <c r="Q16" i="1"/>
  <c r="O16" i="1"/>
  <c r="M16" i="1"/>
  <c r="P16" i="1" s="1"/>
  <c r="J16" i="1"/>
  <c r="I16" i="1"/>
  <c r="G16" i="1"/>
  <c r="K16" i="1" s="1"/>
  <c r="J15" i="1"/>
  <c r="G15" i="1"/>
  <c r="K15" i="1" s="1"/>
  <c r="Q14" i="1"/>
  <c r="O14" i="1" s="1"/>
  <c r="P14" i="1"/>
  <c r="G14" i="1"/>
  <c r="K14" i="1" s="1"/>
  <c r="Q11" i="1"/>
  <c r="O11" i="1" s="1"/>
  <c r="P11" i="1"/>
  <c r="G11" i="1"/>
  <c r="K11" i="1" s="1"/>
  <c r="Q10" i="1"/>
  <c r="G10" i="1" s="1"/>
  <c r="K10" i="1" s="1"/>
  <c r="P10" i="1"/>
  <c r="O10" i="1"/>
  <c r="Q9" i="1"/>
  <c r="O9" i="1" s="1"/>
  <c r="P9" i="1"/>
  <c r="Q8" i="1"/>
  <c r="O8" i="1" s="1"/>
  <c r="P8" i="1"/>
  <c r="Q7" i="1"/>
  <c r="O7" i="1" s="1"/>
  <c r="P7" i="1"/>
  <c r="J7" i="1"/>
  <c r="G7" i="1"/>
  <c r="K7" i="1" s="1"/>
  <c r="G9" i="1" l="1"/>
  <c r="K9" i="1" s="1"/>
  <c r="G22" i="1"/>
  <c r="K22" i="1" s="1"/>
  <c r="G23" i="1"/>
  <c r="K23" i="1" s="1"/>
  <c r="G8" i="1"/>
  <c r="K8" i="1" s="1"/>
  <c r="G18" i="1"/>
  <c r="K18" i="1" s="1"/>
  <c r="O26" i="1"/>
  <c r="G32" i="1"/>
  <c r="K32" i="1" s="1"/>
  <c r="G17" i="1"/>
  <c r="K17" i="1" s="1"/>
  <c r="G31" i="1"/>
  <c r="K31" i="1" s="1"/>
  <c r="O25" i="1"/>
  <c r="O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User-07</author>
  </authors>
  <commentList>
    <comment ref="B32" authorId="0" shapeId="0" xr:uid="{00000000-0006-0000-0000-000001000000}">
      <text>
        <r>
          <rPr>
            <b/>
            <sz val="9"/>
            <rFont val="Tahoma"/>
            <charset val="204"/>
          </rPr>
          <t>User-07:</t>
        </r>
        <r>
          <rPr>
            <sz val="9"/>
            <rFont val="Tahoma"/>
            <charset val="204"/>
          </rPr>
          <t xml:space="preserve">
Согласно бюллетеня №М3613-БЭ-Г
</t>
        </r>
      </text>
    </comment>
  </commentList>
</comments>
</file>

<file path=xl/sharedStrings.xml><?xml version="1.0" encoding="utf-8"?>
<sst xmlns="http://schemas.openxmlformats.org/spreadsheetml/2006/main" count="193" uniqueCount="96">
  <si>
    <t xml:space="preserve">    Вертолет Ми-8Т          </t>
  </si>
  <si>
    <r>
      <rPr>
        <b/>
        <sz val="14"/>
        <color theme="1"/>
        <rFont val="Calibri"/>
        <charset val="204"/>
        <scheme val="minor"/>
      </rPr>
      <t xml:space="preserve">    RA-22830 </t>
    </r>
    <r>
      <rPr>
        <b/>
        <sz val="12"/>
        <color theme="1"/>
        <rFont val="Calibri"/>
        <charset val="204"/>
        <scheme val="minor"/>
      </rPr>
      <t>( 19.09.1978 г.в.)</t>
    </r>
  </si>
  <si>
    <t>наработка</t>
  </si>
  <si>
    <t>Количество ремонтов : 10 на  "№ 21 Гражданской авиации"</t>
  </si>
  <si>
    <t>№ п/п</t>
  </si>
  <si>
    <t>Наименование</t>
  </si>
  <si>
    <t>Тип
№ чертежа</t>
  </si>
  <si>
    <t>№ агрегата
по паспорту</t>
  </si>
  <si>
    <t>Дата изготовл.</t>
  </si>
  <si>
    <t>Наработка  СНЭ</t>
  </si>
  <si>
    <t>Назначенный ресурс</t>
  </si>
  <si>
    <t xml:space="preserve">Остаток назн.ресурса </t>
  </si>
  <si>
    <t>Дата ремонта</t>
  </si>
  <si>
    <t>М/ремонтный ресурс</t>
  </si>
  <si>
    <t>остаток МРР</t>
  </si>
  <si>
    <t>наработка ППР агрегата</t>
  </si>
  <si>
    <t>Контр. циф. ППР</t>
  </si>
  <si>
    <t>Посадки</t>
  </si>
  <si>
    <t>час</t>
  </si>
  <si>
    <t>лет</t>
  </si>
  <si>
    <t>часа</t>
  </si>
  <si>
    <t>СНЭ</t>
  </si>
  <si>
    <t>ППР</t>
  </si>
  <si>
    <t>Вертолет</t>
  </si>
  <si>
    <t>МИ-8Т</t>
  </si>
  <si>
    <t>Двигатель лев.</t>
  </si>
  <si>
    <t>ТВ2-117А</t>
  </si>
  <si>
    <t>С92411135</t>
  </si>
  <si>
    <t>НЕТ</t>
  </si>
  <si>
    <t xml:space="preserve">Двигатель прав. </t>
  </si>
  <si>
    <t>ТВ2-117АГ</t>
  </si>
  <si>
    <t>С96401362</t>
  </si>
  <si>
    <t xml:space="preserve">Продление </t>
  </si>
  <si>
    <t>Редуктор ВР-8</t>
  </si>
  <si>
    <t>ВР-8</t>
  </si>
  <si>
    <t>СР84401165</t>
  </si>
  <si>
    <t xml:space="preserve">Втулка НВ </t>
  </si>
  <si>
    <t>8-1930-000</t>
  </si>
  <si>
    <t>Замена</t>
  </si>
  <si>
    <t xml:space="preserve">Лопасти НВ </t>
  </si>
  <si>
    <t>8АТ-2710-00</t>
  </si>
  <si>
    <t>Винт рулевой</t>
  </si>
  <si>
    <t>8-3904-000 сер 06</t>
  </si>
  <si>
    <t>Лопасти РВ</t>
  </si>
  <si>
    <t>8-3922-00</t>
  </si>
  <si>
    <t>УМБВ167213</t>
  </si>
  <si>
    <t>Автомат перекоса</t>
  </si>
  <si>
    <t>8-1950-000</t>
  </si>
  <si>
    <t>Л8101076</t>
  </si>
  <si>
    <r>
      <rPr>
        <sz val="11"/>
        <color theme="1"/>
        <rFont val="Calibri"/>
        <charset val="204"/>
        <scheme val="minor"/>
      </rPr>
      <t xml:space="preserve">Промежут. редук. -  </t>
    </r>
    <r>
      <rPr>
        <b/>
        <sz val="11"/>
        <color rgb="FFFF0000"/>
        <rFont val="Calibri"/>
        <charset val="204"/>
        <scheme val="minor"/>
      </rPr>
      <t>(???)</t>
    </r>
  </si>
  <si>
    <t>8А-1515-000</t>
  </si>
  <si>
    <t>Л803106</t>
  </si>
  <si>
    <r>
      <rPr>
        <sz val="11"/>
        <color theme="1"/>
        <rFont val="Calibri"/>
        <charset val="204"/>
        <scheme val="minor"/>
      </rPr>
      <t xml:space="preserve">Хвостовой редуктор - </t>
    </r>
    <r>
      <rPr>
        <b/>
        <sz val="11"/>
        <color rgb="FFFF0000"/>
        <rFont val="Calibri"/>
        <charset val="204"/>
        <scheme val="minor"/>
      </rPr>
      <t>(???)</t>
    </r>
  </si>
  <si>
    <t>246-1517-000</t>
  </si>
  <si>
    <t>Л90205022</t>
  </si>
  <si>
    <t>Хвостовой вал</t>
  </si>
  <si>
    <t>8А-1516-000</t>
  </si>
  <si>
    <r>
      <rPr>
        <sz val="11"/>
        <color theme="1"/>
        <rFont val="Calibri"/>
        <charset val="204"/>
        <scheme val="minor"/>
      </rPr>
      <t xml:space="preserve">Вентилятор - </t>
    </r>
    <r>
      <rPr>
        <b/>
        <sz val="11"/>
        <color rgb="FFFF0000"/>
        <rFont val="Calibri"/>
        <charset val="204"/>
        <scheme val="minor"/>
      </rPr>
      <t>(???)</t>
    </r>
  </si>
  <si>
    <t>8А-6311-00</t>
  </si>
  <si>
    <t>ОВ2804170</t>
  </si>
  <si>
    <r>
      <rPr>
        <sz val="11"/>
        <color theme="1"/>
        <rFont val="Calibri"/>
        <charset val="204"/>
        <scheme val="minor"/>
      </rPr>
      <t xml:space="preserve">Карданный вал - </t>
    </r>
    <r>
      <rPr>
        <b/>
        <sz val="11"/>
        <color rgb="FFFF0000"/>
        <rFont val="Calibri"/>
        <charset val="204"/>
        <scheme val="minor"/>
      </rPr>
      <t>(???)</t>
    </r>
  </si>
  <si>
    <t>8А-6314-00</t>
  </si>
  <si>
    <t>Л81218</t>
  </si>
  <si>
    <t>Детали забуст.части управ.</t>
  </si>
  <si>
    <t>8А-5104-200</t>
  </si>
  <si>
    <t>Г850809</t>
  </si>
  <si>
    <t>Кронштейн в сборе</t>
  </si>
  <si>
    <t>8АТ-5104-305</t>
  </si>
  <si>
    <t>Б 03804</t>
  </si>
  <si>
    <t>Цепь управ. РВ</t>
  </si>
  <si>
    <t>ПР-1,875-2300-1 2-5200-02ТУ</t>
  </si>
  <si>
    <t>Аммортизатор шасси осн. Лев</t>
  </si>
  <si>
    <t>8А-4101-00Б ПС ЛЕВ</t>
  </si>
  <si>
    <t>аммортизатор шасси осн. Прав.</t>
  </si>
  <si>
    <t>8А-4101-00Б ПС</t>
  </si>
  <si>
    <t>Рычажная аммортстойка пер. шасси</t>
  </si>
  <si>
    <t>8А-4201-00А</t>
  </si>
  <si>
    <t>Диафрагма гидроаккумулятора</t>
  </si>
  <si>
    <t>15-5303-10-6ЭТ</t>
  </si>
  <si>
    <t>Диафрагма идроаккумулятора</t>
  </si>
  <si>
    <t xml:space="preserve">Авиагоризонт </t>
  </si>
  <si>
    <t>АГБ-3К сер 3</t>
  </si>
  <si>
    <t>04110661</t>
  </si>
  <si>
    <t>КомпрессорАК-50Т1</t>
  </si>
  <si>
    <t>14-950-390-01</t>
  </si>
  <si>
    <t>КТ171049</t>
  </si>
  <si>
    <t>Генератор</t>
  </si>
  <si>
    <t>СГО-30УРС-А</t>
  </si>
  <si>
    <t>Е88359к</t>
  </si>
  <si>
    <t xml:space="preserve">Блок питания </t>
  </si>
  <si>
    <t>АРМ-403</t>
  </si>
  <si>
    <t>Батарея</t>
  </si>
  <si>
    <t>Прибой-2С</t>
  </si>
  <si>
    <t>Нет паспорта</t>
  </si>
  <si>
    <t>-</t>
  </si>
  <si>
    <t>Величина свободной тяги 11055 кг при Р=753 мм рт. Ст. Т=+15°Светер 4м/с. Величина максимально допустимой взлетной массы=11055 кг. Разница=0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</si>
</sst>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dd\.mm\.yyyy"/>
    <numFmt numFmtId="168" formatCode="_-* #\ ##0.00\ _₽_-;\-* #\ ##0.00\ _₽_-;_-* &quot;-&quot;??\ _₽_-;_-@_-"/>
    <numFmt numFmtId="169" formatCode="0.0"/>
  </numFmts>
  <fonts count="13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sz val="11"/>
      <name val="Calibri"/>
      <charset val="204"/>
      <scheme val="minor"/>
    </font>
    <font>
      <b/>
      <sz val="11"/>
      <color rgb="FFFF0000"/>
      <name val="Calibri"/>
      <charset val="204"/>
      <scheme val="minor"/>
    </font>
    <font>
      <sz val="11"/>
      <color rgb="FFFF0000"/>
      <name val="Calibri"/>
      <charset val="204"/>
      <scheme val="minor"/>
    </font>
    <font>
      <b/>
      <sz val="11"/>
      <name val="Calibri"/>
      <charset val="204"/>
      <scheme val="minor"/>
    </font>
    <font>
      <sz val="10"/>
      <name val="Arial Cyr"/>
      <charset val="204"/>
    </font>
    <font>
      <b/>
      <sz val="12"/>
      <color theme="1"/>
      <name val="Calibri"/>
      <charset val="204"/>
      <scheme val="minor"/>
    </font>
    <font>
      <b/>
      <sz val="9"/>
      <name val="Tahoma"/>
      <charset val="204"/>
    </font>
    <font>
      <sz val="9"/>
      <name val="Tahoma"/>
      <charset val="204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8" fontId="12" fillId="0" borderId="0" applyFont="0" applyFill="0" applyBorder="0" applyAlignment="0" applyProtection="0"/>
    <xf numFmtId="0" fontId="8" fillId="0" borderId="0"/>
  </cellStyleXfs>
  <cellXfs count="81">
    <xf numFmtId="0" fontId="0" fillId="0" borderId="0" xfId="0"/>
    <xf numFmtId="0" fontId="1" fillId="0" borderId="3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left"/>
    </xf>
    <xf numFmtId="166" fontId="4" fillId="0" borderId="3" xfId="2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166" fontId="0" fillId="0" borderId="3" xfId="0" applyNumberForma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/>
    <xf numFmtId="0" fontId="4" fillId="0" borderId="3" xfId="0" applyFont="1" applyBorder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166" fontId="4" fillId="0" borderId="3" xfId="0" applyNumberFormat="1" applyFont="1" applyBorder="1" applyAlignment="1">
      <alignment horizontal="left"/>
    </xf>
    <xf numFmtId="0" fontId="6" fillId="0" borderId="3" xfId="0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9" fontId="0" fillId="0" borderId="3" xfId="1" applyNumberFormat="1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left"/>
    </xf>
    <xf numFmtId="0" fontId="0" fillId="0" borderId="3" xfId="0" applyFont="1" applyBorder="1"/>
    <xf numFmtId="166" fontId="0" fillId="0" borderId="3" xfId="0" applyNumberFormat="1" applyFont="1" applyBorder="1" applyAlignment="1">
      <alignment horizontal="left"/>
    </xf>
    <xf numFmtId="2" fontId="0" fillId="0" borderId="3" xfId="0" applyNumberFormat="1" applyBorder="1" applyAlignment="1">
      <alignment horizontal="center"/>
    </xf>
    <xf numFmtId="166" fontId="1" fillId="3" borderId="3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66" fontId="0" fillId="4" borderId="3" xfId="0" applyNumberFormat="1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66" fontId="4" fillId="5" borderId="3" xfId="0" applyNumberFormat="1" applyFont="1" applyFill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166" fontId="0" fillId="3" borderId="3" xfId="0" applyNumberFormat="1" applyFill="1" applyBorder="1" applyAlignment="1">
      <alignment horizontal="center"/>
    </xf>
    <xf numFmtId="166" fontId="1" fillId="5" borderId="3" xfId="0" applyNumberFormat="1" applyFon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6" fontId="4" fillId="4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0" fontId="1" fillId="0" borderId="4" xfId="0" applyFont="1" applyBorder="1" applyAlignment="1"/>
    <xf numFmtId="166" fontId="1" fillId="0" borderId="3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5" borderId="7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5" borderId="7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</cellXfs>
  <cellStyles count="3">
    <cellStyle name="Обычный" xfId="0" builtinId="0"/>
    <cellStyle name="Обычный_Ресурсное состояние агрегатов 27001" xfId="2" xr:uid="{00000000-0005-0000-0000-000031000000}"/>
    <cellStyle name="Финансовый" xfId="1" builtinId="3"/>
  </cellStyles>
  <dxfs count="10">
    <dxf>
      <font>
        <b/>
        <i val="0"/>
      </font>
      <fill>
        <patternFill patternType="solid">
          <bgColor rgb="FFFF6600"/>
        </patternFill>
      </fill>
    </dxf>
    <dxf>
      <font>
        <b/>
        <i val="0"/>
      </font>
      <fill>
        <patternFill patternType="solid">
          <bgColor rgb="FFFF6600"/>
        </patternFill>
      </fill>
    </dxf>
    <dxf>
      <font>
        <b/>
        <i val="0"/>
      </font>
      <fill>
        <patternFill patternType="solid">
          <bgColor rgb="FFFF6600"/>
        </patternFill>
      </fill>
    </dxf>
    <dxf>
      <font>
        <b/>
        <i val="0"/>
      </font>
      <fill>
        <patternFill patternType="solid">
          <bgColor rgb="FFFF6600"/>
        </patternFill>
      </fill>
    </dxf>
    <dxf>
      <font>
        <b/>
        <i val="0"/>
      </font>
      <fill>
        <patternFill patternType="solid">
          <bgColor rgb="FFFFFF99"/>
        </patternFill>
      </fill>
    </dxf>
    <dxf>
      <fill>
        <patternFill patternType="solid">
          <bgColor rgb="FFFF6600"/>
        </patternFill>
      </fill>
    </dxf>
    <dxf>
      <font>
        <b/>
        <i val="0"/>
      </font>
      <fill>
        <patternFill patternType="solid">
          <bgColor rgb="FFFFFF99"/>
        </patternFill>
      </fill>
    </dxf>
    <dxf>
      <font>
        <b/>
        <i val="0"/>
      </font>
      <fill>
        <patternFill patternType="solid">
          <bgColor rgb="FFFF6600"/>
        </patternFill>
      </fill>
    </dxf>
    <dxf>
      <font>
        <b/>
        <i val="0"/>
      </font>
      <fill>
        <patternFill patternType="solid">
          <bgColor rgb="FFFFFF99"/>
        </patternFill>
      </fill>
    </dxf>
    <dxf>
      <font>
        <b/>
        <i val="0"/>
      </font>
      <fill>
        <patternFill patternType="solid">
          <bgColor rgb="FFFFFF99"/>
        </patternFill>
      </fill>
    </dxf>
  </dxfs>
  <tableStyles count="0" defaultTableStyle="TableStyleMedium2" defaultPivotStyle="PivotStyleLight16"/>
  <colors>
    <mruColors>
      <color rgb="FFFFFF99"/>
      <color rgb="FFFF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3;&#1072;&#1088;&#1072;&#1073;&#1086;&#1090;&#1082;&#1072;%20&#1072;&#1075;&#1088;&#1077;&#1075;&#1072;&#1090;&#1086;&#1074;%20&#1052;&#1054;&#1045;\24678%20-%20&#1084;&#1072;&#1081;%20-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678"/>
    </sheetNames>
    <sheetDataSet>
      <sheetData sheetId="0">
        <row r="20">
          <cell r="L20" t="str">
            <v>НЕТ</v>
          </cell>
          <cell r="M20" t="str">
            <v>нет</v>
          </cell>
          <cell r="P20">
            <v>8</v>
          </cell>
        </row>
        <row r="25">
          <cell r="Q25">
            <v>1500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1"/>
  <sheetViews>
    <sheetView tabSelected="1" workbookViewId="0">
      <pane ySplit="7" topLeftCell="A14" activePane="bottomLeft" state="frozen"/>
      <selection pane="bottomLeft" activeCell="M37" sqref="M37:R37"/>
    </sheetView>
  </sheetViews>
  <sheetFormatPr defaultColWidth="9" defaultRowHeight="15"/>
  <cols>
    <col min="1" max="1" width="4.28515625" customWidth="1"/>
    <col min="2" max="2" width="9.140625" customWidth="1"/>
    <col min="3" max="3" width="15.7109375" customWidth="1"/>
    <col min="4" max="4" width="16.5703125" customWidth="1"/>
    <col min="5" max="5" width="11.7109375" customWidth="1"/>
    <col min="6" max="6" width="11.5703125" customWidth="1"/>
    <col min="7" max="7" width="9.42578125" customWidth="1"/>
    <col min="10" max="10" width="10.28515625" customWidth="1"/>
    <col min="12" max="12" width="12.85546875" customWidth="1"/>
    <col min="13" max="13" width="9.140625" customWidth="1"/>
    <col min="16" max="16" width="10.28515625" customWidth="1"/>
    <col min="18" max="18" width="11" customWidth="1"/>
  </cols>
  <sheetData>
    <row r="1" spans="1:20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44"/>
    </row>
    <row r="2" spans="1:20" ht="18.75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  <c r="R2" s="45"/>
    </row>
    <row r="3" spans="1:20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5"/>
      <c r="R3" s="45" t="s">
        <v>2</v>
      </c>
    </row>
    <row r="4" spans="1:20">
      <c r="A4" s="1"/>
      <c r="B4" s="50" t="s">
        <v>3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5"/>
      <c r="R4" s="45">
        <v>44510</v>
      </c>
    </row>
    <row r="5" spans="1:20" ht="39" customHeight="1">
      <c r="A5" s="2" t="s">
        <v>4</v>
      </c>
      <c r="B5" s="56" t="s">
        <v>5</v>
      </c>
      <c r="C5" s="56"/>
      <c r="D5" s="3" t="s">
        <v>6</v>
      </c>
      <c r="E5" s="2" t="s">
        <v>7</v>
      </c>
      <c r="F5" s="2" t="s">
        <v>8</v>
      </c>
      <c r="G5" s="4" t="s">
        <v>9</v>
      </c>
      <c r="H5" s="57" t="s">
        <v>10</v>
      </c>
      <c r="I5" s="57"/>
      <c r="J5" s="57" t="s">
        <v>11</v>
      </c>
      <c r="K5" s="57"/>
      <c r="L5" s="2" t="s">
        <v>12</v>
      </c>
      <c r="M5" s="57" t="s">
        <v>13</v>
      </c>
      <c r="N5" s="57"/>
      <c r="O5" s="56" t="s">
        <v>14</v>
      </c>
      <c r="P5" s="56"/>
      <c r="Q5" s="46" t="s">
        <v>15</v>
      </c>
      <c r="R5" s="2" t="s">
        <v>16</v>
      </c>
      <c r="S5" s="58" t="s">
        <v>17</v>
      </c>
      <c r="T5" s="59"/>
    </row>
    <row r="6" spans="1:20">
      <c r="A6" s="1"/>
      <c r="B6" s="50"/>
      <c r="C6" s="55"/>
      <c r="D6" s="1"/>
      <c r="E6" s="1"/>
      <c r="F6" s="1"/>
      <c r="G6" s="5" t="s">
        <v>18</v>
      </c>
      <c r="H6" s="5" t="s">
        <v>18</v>
      </c>
      <c r="I6" s="5" t="s">
        <v>19</v>
      </c>
      <c r="J6" s="5" t="s">
        <v>19</v>
      </c>
      <c r="K6" s="5" t="s">
        <v>18</v>
      </c>
      <c r="L6" s="5"/>
      <c r="M6" s="5" t="s">
        <v>19</v>
      </c>
      <c r="N6" s="5" t="s">
        <v>18</v>
      </c>
      <c r="O6" s="5" t="s">
        <v>18</v>
      </c>
      <c r="P6" s="5" t="s">
        <v>19</v>
      </c>
      <c r="Q6" s="5" t="s">
        <v>20</v>
      </c>
      <c r="R6" s="5" t="s">
        <v>18</v>
      </c>
      <c r="S6" s="47" t="s">
        <v>21</v>
      </c>
      <c r="T6" s="47" t="s">
        <v>22</v>
      </c>
    </row>
    <row r="7" spans="1:20">
      <c r="A7" s="6"/>
      <c r="B7" s="60" t="s">
        <v>23</v>
      </c>
      <c r="C7" s="61"/>
      <c r="D7" s="9" t="s">
        <v>24</v>
      </c>
      <c r="E7" s="10">
        <v>7630</v>
      </c>
      <c r="F7" s="11">
        <v>28752</v>
      </c>
      <c r="G7" s="12">
        <f>20990+Q7</f>
        <v>22475</v>
      </c>
      <c r="H7" s="12">
        <v>30000</v>
      </c>
      <c r="I7" s="30">
        <v>43.1</v>
      </c>
      <c r="J7" s="31">
        <f>DATE(YEAR(F7)+I7,MONTH(F7)+10,DAY(F7)+8)</f>
        <v>44769</v>
      </c>
      <c r="K7" s="32">
        <f>H7-G7</f>
        <v>7525</v>
      </c>
      <c r="L7" s="11">
        <v>41117</v>
      </c>
      <c r="M7" s="12">
        <v>10</v>
      </c>
      <c r="N7" s="12">
        <v>2000</v>
      </c>
      <c r="O7" s="32">
        <f>N7-Q7</f>
        <v>515</v>
      </c>
      <c r="P7" s="33">
        <f t="shared" ref="P7:P11" si="0">DATE(YEAR(L7)+M7,MONTH(L7),DAY(L7))</f>
        <v>44769</v>
      </c>
      <c r="Q7" s="12">
        <f>R7</f>
        <v>1485</v>
      </c>
      <c r="R7" s="12">
        <v>1485</v>
      </c>
      <c r="S7">
        <v>37779</v>
      </c>
      <c r="T7">
        <v>3014</v>
      </c>
    </row>
    <row r="8" spans="1:20" ht="17.25" customHeight="1">
      <c r="A8" s="6"/>
      <c r="B8" s="10" t="s">
        <v>25</v>
      </c>
      <c r="C8" s="10"/>
      <c r="D8" s="9" t="s">
        <v>26</v>
      </c>
      <c r="E8" s="10" t="s">
        <v>27</v>
      </c>
      <c r="F8" s="13">
        <v>30279</v>
      </c>
      <c r="G8" s="12">
        <f>1929+Q8</f>
        <v>3196</v>
      </c>
      <c r="H8" s="12">
        <v>12000</v>
      </c>
      <c r="I8" s="12" t="s">
        <v>28</v>
      </c>
      <c r="J8" s="12" t="s">
        <v>28</v>
      </c>
      <c r="K8" s="32">
        <f>H8-G8</f>
        <v>8804</v>
      </c>
      <c r="L8" s="34">
        <v>42032</v>
      </c>
      <c r="M8" s="12">
        <v>12</v>
      </c>
      <c r="N8" s="12">
        <v>1500</v>
      </c>
      <c r="O8" s="32">
        <f>N8-Q8</f>
        <v>233</v>
      </c>
      <c r="P8" s="33">
        <f t="shared" si="0"/>
        <v>46415</v>
      </c>
      <c r="Q8" s="12">
        <f>R8-440+222</f>
        <v>1267</v>
      </c>
      <c r="R8" s="12">
        <v>1485</v>
      </c>
    </row>
    <row r="9" spans="1:20" ht="16.5" customHeight="1">
      <c r="A9" s="14"/>
      <c r="B9" s="10" t="s">
        <v>29</v>
      </c>
      <c r="C9" s="10"/>
      <c r="D9" s="15" t="s">
        <v>30</v>
      </c>
      <c r="E9" s="10" t="s">
        <v>31</v>
      </c>
      <c r="F9" s="13">
        <v>28114</v>
      </c>
      <c r="G9" s="12">
        <f>7337+Q9</f>
        <v>9003</v>
      </c>
      <c r="H9" s="12">
        <v>12000</v>
      </c>
      <c r="I9" s="12" t="s">
        <v>28</v>
      </c>
      <c r="J9" s="12" t="s">
        <v>28</v>
      </c>
      <c r="K9" s="32">
        <f>H9-G9</f>
        <v>2997</v>
      </c>
      <c r="L9" s="34">
        <v>40896</v>
      </c>
      <c r="M9" s="12">
        <v>12</v>
      </c>
      <c r="N9" s="32">
        <v>1750</v>
      </c>
      <c r="O9" s="35">
        <f>N9-Q9</f>
        <v>84</v>
      </c>
      <c r="P9" s="33">
        <f t="shared" si="0"/>
        <v>45279</v>
      </c>
      <c r="Q9" s="32">
        <f>R9-1096+1277</f>
        <v>1666</v>
      </c>
      <c r="R9" s="12">
        <v>1485</v>
      </c>
      <c r="S9" s="62" t="s">
        <v>32</v>
      </c>
      <c r="T9" s="63"/>
    </row>
    <row r="10" spans="1:20" ht="16.5" customHeight="1">
      <c r="A10" s="6"/>
      <c r="B10" s="16" t="s">
        <v>33</v>
      </c>
      <c r="C10" s="16"/>
      <c r="D10" s="9" t="s">
        <v>34</v>
      </c>
      <c r="E10" s="10" t="s">
        <v>35</v>
      </c>
      <c r="F10" s="13">
        <v>27348</v>
      </c>
      <c r="G10" s="12">
        <f>4018+Q10</f>
        <v>5064</v>
      </c>
      <c r="H10" s="12">
        <v>15000</v>
      </c>
      <c r="I10" s="12" t="s">
        <v>28</v>
      </c>
      <c r="J10" s="12" t="s">
        <v>28</v>
      </c>
      <c r="K10" s="32">
        <f t="shared" ref="K10:K27" si="1">H10-G10</f>
        <v>9936</v>
      </c>
      <c r="L10" s="34">
        <v>42027</v>
      </c>
      <c r="M10" s="12">
        <v>12</v>
      </c>
      <c r="N10" s="12">
        <v>2000</v>
      </c>
      <c r="O10" s="35">
        <f>N10-Q10</f>
        <v>954</v>
      </c>
      <c r="P10" s="33">
        <f t="shared" si="0"/>
        <v>46410</v>
      </c>
      <c r="Q10" s="12">
        <f>R10-439</f>
        <v>1046</v>
      </c>
      <c r="R10" s="12">
        <v>1485</v>
      </c>
    </row>
    <row r="11" spans="1:20" ht="19.5" customHeight="1">
      <c r="A11" s="14">
        <v>1</v>
      </c>
      <c r="B11" s="16" t="s">
        <v>36</v>
      </c>
      <c r="C11" s="10"/>
      <c r="D11" s="9" t="s">
        <v>37</v>
      </c>
      <c r="E11" s="10">
        <v>228155</v>
      </c>
      <c r="F11" s="13">
        <v>33812</v>
      </c>
      <c r="G11" s="12">
        <f>3290+Q11</f>
        <v>4672</v>
      </c>
      <c r="H11" s="12">
        <v>6000</v>
      </c>
      <c r="I11" s="12" t="s">
        <v>28</v>
      </c>
      <c r="J11" s="12" t="s">
        <v>28</v>
      </c>
      <c r="K11" s="32">
        <f t="shared" si="1"/>
        <v>1328</v>
      </c>
      <c r="L11" s="34">
        <v>40652</v>
      </c>
      <c r="M11" s="12">
        <v>10</v>
      </c>
      <c r="N11" s="12">
        <v>1500</v>
      </c>
      <c r="O11" s="35">
        <f>N11-Q11</f>
        <v>118</v>
      </c>
      <c r="P11" s="36">
        <f t="shared" si="0"/>
        <v>44305</v>
      </c>
      <c r="Q11" s="12">
        <f>R11-439+336</f>
        <v>1382</v>
      </c>
      <c r="R11" s="12">
        <v>1485</v>
      </c>
      <c r="S11" s="64" t="s">
        <v>38</v>
      </c>
      <c r="T11" s="65"/>
    </row>
    <row r="12" spans="1:20" ht="18" customHeight="1">
      <c r="A12" s="17">
        <v>2</v>
      </c>
      <c r="B12" s="16" t="s">
        <v>39</v>
      </c>
      <c r="C12" s="16"/>
      <c r="D12" s="15" t="s">
        <v>40</v>
      </c>
      <c r="E12" s="10"/>
      <c r="F12" s="13"/>
      <c r="G12" s="18"/>
      <c r="H12" s="18"/>
      <c r="I12" s="18"/>
      <c r="J12" s="34"/>
      <c r="K12" s="18"/>
      <c r="L12" s="18"/>
      <c r="M12" s="18"/>
      <c r="N12" s="18"/>
      <c r="O12" s="18"/>
      <c r="P12" s="18"/>
      <c r="Q12" s="18"/>
      <c r="R12" s="12"/>
      <c r="S12" s="79"/>
      <c r="T12" s="80"/>
    </row>
    <row r="13" spans="1:20">
      <c r="A13" s="17">
        <v>3</v>
      </c>
      <c r="B13" s="16" t="s">
        <v>39</v>
      </c>
      <c r="C13" s="16"/>
      <c r="D13" s="15" t="s">
        <v>40</v>
      </c>
      <c r="E13" s="10"/>
      <c r="F13" s="13"/>
      <c r="G13" s="18"/>
      <c r="H13" s="18"/>
      <c r="I13" s="18"/>
      <c r="J13" s="34"/>
      <c r="K13" s="18"/>
      <c r="L13" s="18"/>
      <c r="M13" s="18"/>
      <c r="N13" s="18"/>
      <c r="O13" s="18"/>
      <c r="P13" s="18"/>
      <c r="Q13" s="18"/>
      <c r="R13" s="12"/>
      <c r="S13" s="79"/>
      <c r="T13" s="80"/>
    </row>
    <row r="14" spans="1:20">
      <c r="A14" s="6">
        <v>7</v>
      </c>
      <c r="B14" s="10" t="s">
        <v>41</v>
      </c>
      <c r="C14" s="10"/>
      <c r="D14" s="9" t="s">
        <v>42</v>
      </c>
      <c r="E14" s="19">
        <v>2060175</v>
      </c>
      <c r="F14" s="13">
        <v>33693</v>
      </c>
      <c r="G14" s="12">
        <f>R14-1322+1473</f>
        <v>1636</v>
      </c>
      <c r="H14" s="12">
        <v>5000</v>
      </c>
      <c r="I14" s="18" t="s">
        <v>28</v>
      </c>
      <c r="J14" s="34" t="s">
        <v>28</v>
      </c>
      <c r="K14" s="18">
        <f t="shared" ref="K14:K17" si="2">H14-G14</f>
        <v>3364</v>
      </c>
      <c r="L14" s="37">
        <v>42157</v>
      </c>
      <c r="M14" s="18">
        <v>7</v>
      </c>
      <c r="N14" s="18">
        <v>1000</v>
      </c>
      <c r="O14" s="35">
        <f t="shared" ref="O14" si="3">N14-Q14</f>
        <v>354</v>
      </c>
      <c r="P14" s="38">
        <f t="shared" ref="P14" si="4">DATE(YEAR(L14)+M14,MONTH(L14),DAY(L14))</f>
        <v>44714</v>
      </c>
      <c r="Q14" s="12">
        <f>R14-1322+483</f>
        <v>646</v>
      </c>
      <c r="R14" s="12">
        <v>1485</v>
      </c>
      <c r="S14" s="66"/>
      <c r="T14" s="67"/>
    </row>
    <row r="15" spans="1:20" ht="19.5" customHeight="1">
      <c r="A15" s="14">
        <v>8</v>
      </c>
      <c r="B15" s="10" t="s">
        <v>43</v>
      </c>
      <c r="C15" s="10"/>
      <c r="D15" s="9" t="s">
        <v>44</v>
      </c>
      <c r="E15" s="10" t="s">
        <v>45</v>
      </c>
      <c r="F15" s="20">
        <v>41556</v>
      </c>
      <c r="G15" s="12">
        <f>R15-1322+1487</f>
        <v>1650</v>
      </c>
      <c r="H15" s="12">
        <v>2250</v>
      </c>
      <c r="I15" s="35">
        <v>8</v>
      </c>
      <c r="J15" s="39">
        <f>DATE(YEAR(F15)+I15,MONTH(F15),DAY(F15)+10)</f>
        <v>44488</v>
      </c>
      <c r="K15" s="18">
        <f t="shared" si="2"/>
        <v>600</v>
      </c>
      <c r="L15" s="12" t="s">
        <v>28</v>
      </c>
      <c r="M15" s="12" t="s">
        <v>28</v>
      </c>
      <c r="N15" s="12" t="s">
        <v>28</v>
      </c>
      <c r="O15" s="35" t="s">
        <v>28</v>
      </c>
      <c r="P15" s="33" t="s">
        <v>28</v>
      </c>
      <c r="Q15" s="12" t="s">
        <v>28</v>
      </c>
      <c r="R15" s="12">
        <v>1485</v>
      </c>
      <c r="S15" s="68"/>
      <c r="T15" s="69"/>
    </row>
    <row r="16" spans="1:20" ht="17.25" customHeight="1">
      <c r="A16" s="6">
        <v>9</v>
      </c>
      <c r="B16" s="10" t="s">
        <v>46</v>
      </c>
      <c r="C16" s="10"/>
      <c r="D16" s="9" t="s">
        <v>47</v>
      </c>
      <c r="E16" s="10" t="s">
        <v>48</v>
      </c>
      <c r="F16" s="13">
        <v>32169</v>
      </c>
      <c r="G16" s="12">
        <f>Q16+5335</f>
        <v>6381</v>
      </c>
      <c r="H16" s="12">
        <v>10500</v>
      </c>
      <c r="I16" s="12" t="str">
        <f>'[1]24678'!L20</f>
        <v>НЕТ</v>
      </c>
      <c r="J16" s="40" t="str">
        <f>'[1]24678'!M20</f>
        <v>нет</v>
      </c>
      <c r="K16" s="12">
        <f t="shared" si="2"/>
        <v>4119</v>
      </c>
      <c r="L16" s="34">
        <v>41898</v>
      </c>
      <c r="M16" s="12">
        <f>'[1]24678'!P20</f>
        <v>8</v>
      </c>
      <c r="N16" s="12">
        <v>2000</v>
      </c>
      <c r="O16" s="35">
        <f>N16-Q16</f>
        <v>954</v>
      </c>
      <c r="P16" s="33">
        <f>DATE(YEAR(L16)+M16,MONTH(L16),DAY(L16))</f>
        <v>44820</v>
      </c>
      <c r="Q16" s="12">
        <f>R16-439</f>
        <v>1046</v>
      </c>
      <c r="R16" s="12">
        <v>1485</v>
      </c>
    </row>
    <row r="17" spans="1:20" ht="18.75" customHeight="1">
      <c r="A17" s="14">
        <v>10</v>
      </c>
      <c r="B17" s="10" t="s">
        <v>49</v>
      </c>
      <c r="C17" s="10"/>
      <c r="D17" s="9" t="s">
        <v>50</v>
      </c>
      <c r="E17" s="10" t="s">
        <v>51</v>
      </c>
      <c r="F17" s="13">
        <v>29472</v>
      </c>
      <c r="G17" s="12">
        <f>11105+Q17</f>
        <v>12590</v>
      </c>
      <c r="H17" s="12">
        <v>16000</v>
      </c>
      <c r="I17" s="12" t="s">
        <v>28</v>
      </c>
      <c r="J17" s="12" t="s">
        <v>28</v>
      </c>
      <c r="K17" s="12">
        <f t="shared" si="2"/>
        <v>3410</v>
      </c>
      <c r="L17" s="34">
        <v>40863</v>
      </c>
      <c r="M17" s="12">
        <v>8</v>
      </c>
      <c r="N17" s="12">
        <v>4000</v>
      </c>
      <c r="O17" s="32">
        <f>N17-Q17</f>
        <v>2515</v>
      </c>
      <c r="P17" s="41">
        <f t="shared" ref="P17:P18" si="5">DATE(YEAR(L17)+M17,MONTH(L17),DAY(L17))</f>
        <v>43785</v>
      </c>
      <c r="Q17" s="12">
        <f>R17</f>
        <v>1485</v>
      </c>
      <c r="R17" s="12">
        <v>1485</v>
      </c>
      <c r="S17" s="64"/>
      <c r="T17" s="65"/>
    </row>
    <row r="18" spans="1:20">
      <c r="A18" s="14">
        <v>11</v>
      </c>
      <c r="B18" s="10" t="s">
        <v>52</v>
      </c>
      <c r="C18" s="10"/>
      <c r="D18" s="9" t="s">
        <v>53</v>
      </c>
      <c r="E18" s="10" t="s">
        <v>54</v>
      </c>
      <c r="F18" s="13">
        <v>33008</v>
      </c>
      <c r="G18" s="12">
        <f>3329+Q18</f>
        <v>4814</v>
      </c>
      <c r="H18" s="12">
        <v>16000</v>
      </c>
      <c r="I18" s="12" t="s">
        <v>28</v>
      </c>
      <c r="J18" s="12" t="s">
        <v>28</v>
      </c>
      <c r="K18" s="12">
        <f t="shared" si="1"/>
        <v>11186</v>
      </c>
      <c r="L18" s="34">
        <v>40863</v>
      </c>
      <c r="M18" s="12">
        <v>8</v>
      </c>
      <c r="N18" s="12">
        <v>4000</v>
      </c>
      <c r="O18" s="32">
        <f t="shared" ref="O18:O27" si="6">N18-Q18</f>
        <v>2515</v>
      </c>
      <c r="P18" s="41">
        <f t="shared" si="5"/>
        <v>43785</v>
      </c>
      <c r="Q18" s="12">
        <f>R18</f>
        <v>1485</v>
      </c>
      <c r="R18" s="12">
        <v>1485</v>
      </c>
      <c r="S18" s="64"/>
      <c r="T18" s="65"/>
    </row>
    <row r="19" spans="1:20">
      <c r="A19" s="6">
        <v>12</v>
      </c>
      <c r="B19" s="16" t="s">
        <v>55</v>
      </c>
      <c r="C19" s="21"/>
      <c r="D19" s="9" t="s">
        <v>56</v>
      </c>
      <c r="E19" s="10"/>
      <c r="F19" s="13"/>
      <c r="G19" s="12"/>
      <c r="H19" s="12"/>
      <c r="I19" s="12"/>
      <c r="J19" s="12"/>
      <c r="K19" s="12"/>
      <c r="L19" s="34"/>
      <c r="M19" s="12"/>
      <c r="N19" s="12"/>
      <c r="O19" s="32"/>
      <c r="P19" s="33"/>
      <c r="Q19" s="12"/>
      <c r="R19" s="12"/>
    </row>
    <row r="20" spans="1:20">
      <c r="A20" s="14">
        <v>13</v>
      </c>
      <c r="B20" s="10" t="s">
        <v>57</v>
      </c>
      <c r="C20" s="10"/>
      <c r="D20" s="9" t="s">
        <v>58</v>
      </c>
      <c r="E20" s="10" t="s">
        <v>59</v>
      </c>
      <c r="F20" s="13">
        <v>28616</v>
      </c>
      <c r="G20" s="12">
        <f>4112+Q20</f>
        <v>5363</v>
      </c>
      <c r="H20" s="12">
        <v>9500</v>
      </c>
      <c r="I20" s="12" t="s">
        <v>28</v>
      </c>
      <c r="J20" s="12" t="s">
        <v>28</v>
      </c>
      <c r="K20" s="12">
        <f>H20-G20</f>
        <v>4137</v>
      </c>
      <c r="L20" s="34">
        <v>40603</v>
      </c>
      <c r="M20" s="12">
        <v>10</v>
      </c>
      <c r="N20" s="12">
        <v>2000</v>
      </c>
      <c r="O20" s="32">
        <f t="shared" si="6"/>
        <v>749</v>
      </c>
      <c r="P20" s="41">
        <f t="shared" ref="P20:P21" si="7">DATE(YEAR(L20)+M20,MONTH(L20),DAY(L20))</f>
        <v>44256</v>
      </c>
      <c r="Q20" s="12">
        <f>R20-234</f>
        <v>1251</v>
      </c>
      <c r="R20" s="12">
        <v>1485</v>
      </c>
      <c r="S20" s="64"/>
      <c r="T20" s="65"/>
    </row>
    <row r="21" spans="1:20" ht="18" customHeight="1">
      <c r="A21" s="14">
        <v>14</v>
      </c>
      <c r="B21" s="10" t="s">
        <v>60</v>
      </c>
      <c r="C21" s="10"/>
      <c r="D21" s="9" t="s">
        <v>61</v>
      </c>
      <c r="E21" s="10" t="s">
        <v>62</v>
      </c>
      <c r="F21" s="13">
        <v>28491</v>
      </c>
      <c r="G21" s="12">
        <f>4500+Q21</f>
        <v>5981</v>
      </c>
      <c r="H21" s="12">
        <v>12000</v>
      </c>
      <c r="I21" s="12" t="s">
        <v>28</v>
      </c>
      <c r="J21" s="12" t="s">
        <v>28</v>
      </c>
      <c r="K21" s="12">
        <f t="shared" si="1"/>
        <v>6019</v>
      </c>
      <c r="L21" s="34">
        <v>40533</v>
      </c>
      <c r="M21" s="12">
        <v>10</v>
      </c>
      <c r="N21" s="12">
        <f>'[1]24678'!Q25</f>
        <v>1500</v>
      </c>
      <c r="O21" s="35">
        <f t="shared" si="6"/>
        <v>19</v>
      </c>
      <c r="P21" s="41">
        <f t="shared" si="7"/>
        <v>44186</v>
      </c>
      <c r="Q21" s="12">
        <f>R21-4</f>
        <v>1481</v>
      </c>
      <c r="R21" s="12">
        <v>1485</v>
      </c>
      <c r="S21" s="64"/>
      <c r="T21" s="65"/>
    </row>
    <row r="22" spans="1:20" ht="17.25" customHeight="1">
      <c r="A22" s="77">
        <v>19</v>
      </c>
      <c r="B22" s="71" t="s">
        <v>63</v>
      </c>
      <c r="C22" s="72"/>
      <c r="D22" s="9" t="s">
        <v>64</v>
      </c>
      <c r="E22" s="10" t="s">
        <v>65</v>
      </c>
      <c r="F22" s="13">
        <v>31278</v>
      </c>
      <c r="G22" s="12">
        <f>6660+Q22</f>
        <v>8134</v>
      </c>
      <c r="H22" s="12">
        <v>12000</v>
      </c>
      <c r="I22" s="30">
        <v>43.1</v>
      </c>
      <c r="J22" s="34">
        <f>DATE(YEAR(F22)+I22,MONTH(F22)+10,DAY(F22))</f>
        <v>47288</v>
      </c>
      <c r="K22" s="12">
        <f t="shared" si="1"/>
        <v>3866</v>
      </c>
      <c r="L22" s="34">
        <v>41432</v>
      </c>
      <c r="M22" s="12">
        <v>10</v>
      </c>
      <c r="N22" s="12">
        <v>2000</v>
      </c>
      <c r="O22" s="32">
        <f t="shared" si="6"/>
        <v>526</v>
      </c>
      <c r="P22" s="33">
        <f t="shared" ref="P22:P23" si="8">DATE(YEAR(L22)+M22,MONTH(L22),DAY(L22))</f>
        <v>45084</v>
      </c>
      <c r="Q22" s="12">
        <f>R22-11</f>
        <v>1474</v>
      </c>
      <c r="R22" s="12">
        <v>1485</v>
      </c>
    </row>
    <row r="23" spans="1:20" ht="17.25" customHeight="1">
      <c r="A23" s="78"/>
      <c r="B23" s="7" t="s">
        <v>66</v>
      </c>
      <c r="C23" s="8"/>
      <c r="D23" s="9" t="s">
        <v>67</v>
      </c>
      <c r="E23" s="22" t="s">
        <v>68</v>
      </c>
      <c r="F23" s="13">
        <v>38718</v>
      </c>
      <c r="G23" s="12">
        <f>1258+Q23</f>
        <v>2732</v>
      </c>
      <c r="H23" s="12">
        <v>12000</v>
      </c>
      <c r="I23" s="30">
        <v>43.1</v>
      </c>
      <c r="J23" s="34">
        <f t="shared" ref="J23:J33" si="9">DATE(YEAR(F23)+I23,MONTH(F23),DAY(F23))</f>
        <v>54424</v>
      </c>
      <c r="K23" s="12">
        <f t="shared" si="1"/>
        <v>9268</v>
      </c>
      <c r="L23" s="34">
        <v>41432</v>
      </c>
      <c r="M23" s="12">
        <v>10</v>
      </c>
      <c r="N23" s="12">
        <v>2000</v>
      </c>
      <c r="O23" s="32">
        <f t="shared" si="6"/>
        <v>526</v>
      </c>
      <c r="P23" s="33">
        <f t="shared" si="8"/>
        <v>45084</v>
      </c>
      <c r="Q23" s="12">
        <f>R23-11</f>
        <v>1474</v>
      </c>
      <c r="R23" s="12">
        <v>1485</v>
      </c>
    </row>
    <row r="24" spans="1:20">
      <c r="A24" s="14">
        <v>20</v>
      </c>
      <c r="B24" s="16" t="s">
        <v>69</v>
      </c>
      <c r="C24" s="16"/>
      <c r="D24" s="9" t="s">
        <v>70</v>
      </c>
      <c r="E24" s="10">
        <v>760</v>
      </c>
      <c r="F24" s="13">
        <v>43007</v>
      </c>
      <c r="G24" s="12">
        <f>R24</f>
        <v>1485</v>
      </c>
      <c r="H24" s="12">
        <v>1500</v>
      </c>
      <c r="I24" s="12">
        <v>7</v>
      </c>
      <c r="J24" s="34">
        <f t="shared" si="9"/>
        <v>45564</v>
      </c>
      <c r="K24" s="42">
        <f t="shared" si="1"/>
        <v>15</v>
      </c>
      <c r="L24" s="12" t="s">
        <v>28</v>
      </c>
      <c r="M24" s="12" t="s">
        <v>28</v>
      </c>
      <c r="N24" s="12" t="s">
        <v>28</v>
      </c>
      <c r="O24" s="12" t="s">
        <v>28</v>
      </c>
      <c r="P24" s="12" t="s">
        <v>28</v>
      </c>
      <c r="Q24" s="12" t="s">
        <v>28</v>
      </c>
      <c r="R24" s="12">
        <v>1485</v>
      </c>
      <c r="S24" s="73" t="s">
        <v>38</v>
      </c>
      <c r="T24" s="74"/>
    </row>
    <row r="25" spans="1:20">
      <c r="A25" s="6">
        <v>21</v>
      </c>
      <c r="B25" s="16" t="s">
        <v>71</v>
      </c>
      <c r="C25" s="16"/>
      <c r="D25" s="9" t="s">
        <v>72</v>
      </c>
      <c r="E25" s="10">
        <v>74123</v>
      </c>
      <c r="F25" s="13">
        <v>31475</v>
      </c>
      <c r="G25" s="18">
        <f>19187+Q25</f>
        <v>19928</v>
      </c>
      <c r="H25" s="12">
        <v>26000</v>
      </c>
      <c r="I25" s="12">
        <v>40</v>
      </c>
      <c r="J25" s="34">
        <f t="shared" si="9"/>
        <v>46085</v>
      </c>
      <c r="K25" s="12">
        <f t="shared" si="1"/>
        <v>6072</v>
      </c>
      <c r="L25" s="34">
        <v>43441</v>
      </c>
      <c r="M25" s="12">
        <v>8</v>
      </c>
      <c r="N25" s="12">
        <v>6000</v>
      </c>
      <c r="O25" s="32">
        <f t="shared" si="6"/>
        <v>5259</v>
      </c>
      <c r="P25" s="33">
        <f t="shared" ref="P25:P27" si="10">DATE(YEAR(L25)+M25,MONTH(L25),DAY(L25))</f>
        <v>46363</v>
      </c>
      <c r="Q25" s="12">
        <f>R25-2273</f>
        <v>741</v>
      </c>
      <c r="R25" s="12">
        <v>3014</v>
      </c>
    </row>
    <row r="26" spans="1:20">
      <c r="A26" s="6">
        <v>22</v>
      </c>
      <c r="B26" s="16" t="s">
        <v>73</v>
      </c>
      <c r="C26" s="16"/>
      <c r="D26" s="9" t="s">
        <v>74</v>
      </c>
      <c r="E26" s="10">
        <v>82168</v>
      </c>
      <c r="F26" s="13">
        <v>32014</v>
      </c>
      <c r="G26" s="18">
        <f>16359+Q26</f>
        <v>17100</v>
      </c>
      <c r="H26" s="12">
        <v>26000</v>
      </c>
      <c r="I26" s="12">
        <v>40</v>
      </c>
      <c r="J26" s="34">
        <f t="shared" si="9"/>
        <v>46624</v>
      </c>
      <c r="K26" s="12">
        <f t="shared" si="1"/>
        <v>8900</v>
      </c>
      <c r="L26" s="34">
        <v>43552</v>
      </c>
      <c r="M26" s="12">
        <v>8</v>
      </c>
      <c r="N26" s="12">
        <v>6000</v>
      </c>
      <c r="O26" s="32">
        <f t="shared" si="6"/>
        <v>5259</v>
      </c>
      <c r="P26" s="33">
        <f t="shared" si="10"/>
        <v>46474</v>
      </c>
      <c r="Q26" s="12">
        <f>R26-2273</f>
        <v>741</v>
      </c>
      <c r="R26" s="12">
        <v>3014</v>
      </c>
    </row>
    <row r="27" spans="1:20">
      <c r="A27" s="6">
        <v>23</v>
      </c>
      <c r="B27" s="16" t="s">
        <v>75</v>
      </c>
      <c r="C27" s="16"/>
      <c r="D27" s="9" t="s">
        <v>76</v>
      </c>
      <c r="E27" s="10">
        <v>60003</v>
      </c>
      <c r="F27" s="13">
        <v>31124</v>
      </c>
      <c r="G27" s="18">
        <f>2987+Q27</f>
        <v>3728</v>
      </c>
      <c r="H27" s="12">
        <v>26000</v>
      </c>
      <c r="I27" s="12">
        <v>40</v>
      </c>
      <c r="J27" s="34">
        <f t="shared" si="9"/>
        <v>45734</v>
      </c>
      <c r="K27" s="12">
        <f t="shared" si="1"/>
        <v>22272</v>
      </c>
      <c r="L27" s="34">
        <v>43280</v>
      </c>
      <c r="M27" s="12">
        <v>8</v>
      </c>
      <c r="N27" s="12">
        <v>6000</v>
      </c>
      <c r="O27" s="32">
        <f t="shared" si="6"/>
        <v>5259</v>
      </c>
      <c r="P27" s="33">
        <f t="shared" si="10"/>
        <v>46202</v>
      </c>
      <c r="Q27" s="12">
        <f>R27-2273</f>
        <v>741</v>
      </c>
      <c r="R27" s="12">
        <v>3014</v>
      </c>
    </row>
    <row r="28" spans="1:20" ht="19.5" customHeight="1">
      <c r="A28" s="6">
        <v>24</v>
      </c>
      <c r="B28" s="16" t="s">
        <v>77</v>
      </c>
      <c r="C28" s="16"/>
      <c r="D28" s="9" t="s">
        <v>78</v>
      </c>
      <c r="E28" s="10">
        <v>5</v>
      </c>
      <c r="F28" s="13">
        <v>43404</v>
      </c>
      <c r="G28" s="18" t="s">
        <v>28</v>
      </c>
      <c r="H28" s="12" t="s">
        <v>28</v>
      </c>
      <c r="I28" s="12">
        <v>10</v>
      </c>
      <c r="J28" s="34">
        <f t="shared" si="9"/>
        <v>47057</v>
      </c>
      <c r="K28" s="12" t="s">
        <v>28</v>
      </c>
      <c r="L28" s="12" t="s">
        <v>28</v>
      </c>
      <c r="M28" s="12" t="s">
        <v>28</v>
      </c>
      <c r="N28" s="12" t="s">
        <v>28</v>
      </c>
      <c r="O28" s="12" t="s">
        <v>28</v>
      </c>
      <c r="P28" s="12" t="s">
        <v>28</v>
      </c>
      <c r="Q28" s="12" t="s">
        <v>28</v>
      </c>
      <c r="R28" s="12" t="s">
        <v>28</v>
      </c>
    </row>
    <row r="29" spans="1:20" ht="20.25" customHeight="1">
      <c r="A29" s="6">
        <v>25</v>
      </c>
      <c r="B29" s="16" t="s">
        <v>77</v>
      </c>
      <c r="C29" s="16"/>
      <c r="D29" s="9" t="s">
        <v>78</v>
      </c>
      <c r="E29" s="10">
        <v>2</v>
      </c>
      <c r="F29" s="13">
        <v>43418</v>
      </c>
      <c r="G29" s="18" t="s">
        <v>28</v>
      </c>
      <c r="H29" s="12" t="s">
        <v>28</v>
      </c>
      <c r="I29" s="12">
        <v>10</v>
      </c>
      <c r="J29" s="34">
        <f t="shared" si="9"/>
        <v>47071</v>
      </c>
      <c r="K29" s="12" t="s">
        <v>28</v>
      </c>
      <c r="L29" s="12" t="s">
        <v>28</v>
      </c>
      <c r="M29" s="12" t="s">
        <v>28</v>
      </c>
      <c r="N29" s="12" t="s">
        <v>28</v>
      </c>
      <c r="O29" s="12" t="s">
        <v>28</v>
      </c>
      <c r="P29" s="12" t="s">
        <v>28</v>
      </c>
      <c r="Q29" s="12" t="s">
        <v>28</v>
      </c>
      <c r="R29" s="12" t="s">
        <v>28</v>
      </c>
    </row>
    <row r="30" spans="1:20" ht="17.25" customHeight="1">
      <c r="A30" s="6">
        <v>26</v>
      </c>
      <c r="B30" s="16" t="s">
        <v>79</v>
      </c>
      <c r="C30" s="16"/>
      <c r="D30" s="9" t="s">
        <v>78</v>
      </c>
      <c r="E30" s="10">
        <v>1</v>
      </c>
      <c r="F30" s="13">
        <v>43418</v>
      </c>
      <c r="G30" s="18" t="s">
        <v>28</v>
      </c>
      <c r="H30" s="12" t="s">
        <v>28</v>
      </c>
      <c r="I30" s="12">
        <v>10</v>
      </c>
      <c r="J30" s="34">
        <f t="shared" si="9"/>
        <v>47071</v>
      </c>
      <c r="K30" s="12" t="s">
        <v>28</v>
      </c>
      <c r="L30" s="12" t="s">
        <v>28</v>
      </c>
      <c r="M30" s="12" t="s">
        <v>28</v>
      </c>
      <c r="N30" s="12" t="s">
        <v>28</v>
      </c>
      <c r="O30" s="12" t="s">
        <v>28</v>
      </c>
      <c r="P30" s="12" t="s">
        <v>28</v>
      </c>
      <c r="Q30" s="12" t="s">
        <v>28</v>
      </c>
      <c r="R30" s="12" t="s">
        <v>28</v>
      </c>
    </row>
    <row r="31" spans="1:20">
      <c r="A31" s="26">
        <v>28</v>
      </c>
      <c r="B31" s="23" t="s">
        <v>80</v>
      </c>
      <c r="C31" s="27"/>
      <c r="D31" s="9" t="s">
        <v>81</v>
      </c>
      <c r="E31" s="25" t="s">
        <v>82</v>
      </c>
      <c r="F31" s="13">
        <v>40663</v>
      </c>
      <c r="G31" s="12">
        <f>2242+Q31</f>
        <v>2260</v>
      </c>
      <c r="H31" s="12">
        <v>9000</v>
      </c>
      <c r="I31" s="12">
        <v>15</v>
      </c>
      <c r="J31" s="34">
        <f t="shared" si="9"/>
        <v>46142</v>
      </c>
      <c r="K31" s="12">
        <f>H31-G31</f>
        <v>6740</v>
      </c>
      <c r="L31" s="34">
        <v>44198</v>
      </c>
      <c r="M31" s="12">
        <v>5</v>
      </c>
      <c r="N31" s="12">
        <v>3000</v>
      </c>
      <c r="O31" s="32">
        <f t="shared" ref="O31:O33" si="11">N31-Q31</f>
        <v>2982</v>
      </c>
      <c r="P31" s="33">
        <f t="shared" ref="P31" si="12">DATE(YEAR(L31)+M31,MONTH(L31),DAY(L31))</f>
        <v>46024</v>
      </c>
      <c r="Q31" s="12">
        <f>R31-1467</f>
        <v>18</v>
      </c>
      <c r="R31" s="12">
        <v>1485</v>
      </c>
      <c r="S31" s="48"/>
      <c r="T31" s="49"/>
    </row>
    <row r="32" spans="1:20" ht="18" customHeight="1">
      <c r="A32" s="26">
        <v>29</v>
      </c>
      <c r="B32" s="19" t="s">
        <v>83</v>
      </c>
      <c r="C32" s="19"/>
      <c r="D32" s="28" t="s">
        <v>84</v>
      </c>
      <c r="E32" s="19" t="s">
        <v>85</v>
      </c>
      <c r="F32" s="29">
        <v>42776</v>
      </c>
      <c r="G32" s="12">
        <f>Q32+338</f>
        <v>727</v>
      </c>
      <c r="H32" s="12">
        <v>2250</v>
      </c>
      <c r="I32" s="12" t="s">
        <v>28</v>
      </c>
      <c r="J32" s="12" t="s">
        <v>28</v>
      </c>
      <c r="K32" s="12">
        <f>H32-G32</f>
        <v>1523</v>
      </c>
      <c r="L32" s="34" t="s">
        <v>28</v>
      </c>
      <c r="M32" s="12">
        <v>6</v>
      </c>
      <c r="N32" s="12">
        <v>750</v>
      </c>
      <c r="O32" s="32">
        <f t="shared" si="11"/>
        <v>361</v>
      </c>
      <c r="P32" s="33">
        <f>DATE(YEAR(F32)+M32,MONTH(F32),DAY(F32))</f>
        <v>44967</v>
      </c>
      <c r="Q32" s="12">
        <f>R32-1096</f>
        <v>389</v>
      </c>
      <c r="R32" s="12">
        <v>1485</v>
      </c>
    </row>
    <row r="33" spans="1:20">
      <c r="A33" s="14">
        <v>30</v>
      </c>
      <c r="B33" s="23" t="s">
        <v>86</v>
      </c>
      <c r="C33" s="24"/>
      <c r="D33" s="9" t="s">
        <v>87</v>
      </c>
      <c r="E33" s="10" t="s">
        <v>88</v>
      </c>
      <c r="F33" s="13">
        <v>32387</v>
      </c>
      <c r="G33" s="12">
        <f>Q33+1485</f>
        <v>2970</v>
      </c>
      <c r="H33" s="12">
        <v>20000</v>
      </c>
      <c r="I33" s="40">
        <v>35</v>
      </c>
      <c r="J33" s="34">
        <f t="shared" si="9"/>
        <v>45170</v>
      </c>
      <c r="K33" s="12">
        <f>H33-G33</f>
        <v>17030</v>
      </c>
      <c r="L33" s="34">
        <v>40889</v>
      </c>
      <c r="M33" s="12">
        <v>8</v>
      </c>
      <c r="N33" s="12">
        <v>2000</v>
      </c>
      <c r="O33" s="32">
        <f t="shared" si="11"/>
        <v>515</v>
      </c>
      <c r="P33" s="41">
        <f t="shared" ref="P33" si="13">DATE(YEAR(L33)+M33,MONTH(L33),DAY(L33))</f>
        <v>43811</v>
      </c>
      <c r="Q33" s="12">
        <f>R33</f>
        <v>1485</v>
      </c>
      <c r="R33" s="12">
        <v>1485</v>
      </c>
      <c r="S33" s="64"/>
      <c r="T33" s="65"/>
    </row>
    <row r="34" spans="1:20" ht="17.25" customHeight="1">
      <c r="A34" s="14">
        <v>31</v>
      </c>
      <c r="B34" s="23" t="s">
        <v>89</v>
      </c>
      <c r="C34" s="24"/>
      <c r="D34" s="9" t="s">
        <v>90</v>
      </c>
      <c r="E34" s="10">
        <v>7522166750</v>
      </c>
      <c r="F34" s="13">
        <v>42992</v>
      </c>
      <c r="G34" s="12" t="s">
        <v>28</v>
      </c>
      <c r="H34" s="12" t="s">
        <v>28</v>
      </c>
      <c r="I34" s="40">
        <v>3</v>
      </c>
      <c r="J34" s="37">
        <f t="shared" ref="J34" si="14">DATE(YEAR(F34)+I34,MONTH(F34),DAY(F34))</f>
        <v>44088</v>
      </c>
      <c r="K34" s="12" t="s">
        <v>28</v>
      </c>
      <c r="L34" s="12" t="s">
        <v>28</v>
      </c>
      <c r="M34" s="12" t="s">
        <v>28</v>
      </c>
      <c r="N34" s="12" t="s">
        <v>28</v>
      </c>
      <c r="O34" s="12" t="s">
        <v>28</v>
      </c>
      <c r="P34" s="12" t="s">
        <v>28</v>
      </c>
      <c r="Q34" s="12" t="s">
        <v>28</v>
      </c>
      <c r="R34" s="12" t="s">
        <v>28</v>
      </c>
      <c r="S34" s="64"/>
      <c r="T34" s="65"/>
    </row>
    <row r="35" spans="1:20" ht="19.5" customHeight="1">
      <c r="A35" s="14">
        <v>32</v>
      </c>
      <c r="B35" s="75" t="s">
        <v>91</v>
      </c>
      <c r="C35" s="76"/>
      <c r="D35" s="9" t="s">
        <v>92</v>
      </c>
      <c r="E35" s="21"/>
      <c r="F35" s="13"/>
      <c r="G35" s="12" t="s">
        <v>28</v>
      </c>
      <c r="H35" s="12" t="s">
        <v>28</v>
      </c>
      <c r="I35" s="43">
        <v>2.6</v>
      </c>
      <c r="J35" s="34"/>
      <c r="K35" s="12" t="s">
        <v>28</v>
      </c>
      <c r="L35" s="12" t="s">
        <v>28</v>
      </c>
      <c r="M35" s="12" t="s">
        <v>28</v>
      </c>
      <c r="N35" s="12" t="s">
        <v>28</v>
      </c>
      <c r="O35" s="12" t="s">
        <v>28</v>
      </c>
      <c r="P35" s="12" t="s">
        <v>28</v>
      </c>
      <c r="Q35" s="12" t="s">
        <v>28</v>
      </c>
      <c r="R35" s="12" t="s">
        <v>28</v>
      </c>
      <c r="S35" s="64" t="s">
        <v>93</v>
      </c>
      <c r="T35" s="65"/>
    </row>
    <row r="37" spans="1:20">
      <c r="M37" s="70"/>
      <c r="N37" s="70"/>
      <c r="O37" s="70"/>
      <c r="P37" s="70"/>
      <c r="Q37" s="70"/>
      <c r="R37" s="70"/>
    </row>
    <row r="104" spans="1:1">
      <c r="A104">
        <v>43</v>
      </c>
    </row>
    <row r="105" spans="1:1">
      <c r="A105" t="s">
        <v>94</v>
      </c>
    </row>
    <row r="106" spans="1:1">
      <c r="A106" t="s">
        <v>94</v>
      </c>
    </row>
    <row r="151" spans="1:1">
      <c r="A151" t="s">
        <v>95</v>
      </c>
    </row>
  </sheetData>
  <mergeCells count="29">
    <mergeCell ref="B35:C35"/>
    <mergeCell ref="S35:T35"/>
    <mergeCell ref="M37:R37"/>
    <mergeCell ref="A22:A23"/>
    <mergeCell ref="S12:T13"/>
    <mergeCell ref="B22:C22"/>
    <mergeCell ref="S24:T24"/>
    <mergeCell ref="S33:T33"/>
    <mergeCell ref="S34:T34"/>
    <mergeCell ref="S21:T21"/>
    <mergeCell ref="S14:T14"/>
    <mergeCell ref="S15:T15"/>
    <mergeCell ref="S17:T17"/>
    <mergeCell ref="S18:T18"/>
    <mergeCell ref="S20:T20"/>
    <mergeCell ref="S5:T5"/>
    <mergeCell ref="B6:C6"/>
    <mergeCell ref="B7:C7"/>
    <mergeCell ref="S9:T9"/>
    <mergeCell ref="S11:T11"/>
    <mergeCell ref="A1:Q1"/>
    <mergeCell ref="A2:Q2"/>
    <mergeCell ref="A3:Q3"/>
    <mergeCell ref="B4:Q4"/>
    <mergeCell ref="B5:C5"/>
    <mergeCell ref="H5:I5"/>
    <mergeCell ref="J5:K5"/>
    <mergeCell ref="M5:N5"/>
    <mergeCell ref="O5:P5"/>
  </mergeCells>
  <conditionalFormatting sqref="O9">
    <cfRule type="expression" dxfId="9" priority="7">
      <formula>AND(O9&gt;=50,O9&lt;200)</formula>
    </cfRule>
  </conditionalFormatting>
  <conditionalFormatting sqref="O11">
    <cfRule type="expression" dxfId="8" priority="8">
      <formula>AND(O11&gt;=50,O11&lt;200)</formula>
    </cfRule>
  </conditionalFormatting>
  <conditionalFormatting sqref="P11">
    <cfRule type="expression" dxfId="7" priority="26">
      <formula>(P11-TODAY())&lt;30</formula>
    </cfRule>
  </conditionalFormatting>
  <conditionalFormatting sqref="K16">
    <cfRule type="colorScale" priority="104">
      <colorScale>
        <cfvo type="num" val="300"/>
        <cfvo type="num" val="600"/>
        <color rgb="FFFF0000"/>
        <color theme="9" tint="0.39994506668294322"/>
      </colorScale>
    </cfRule>
    <cfRule type="colorScale" priority="105">
      <colorScale>
        <cfvo type="num" val="300"/>
        <cfvo type="num" val="600"/>
        <color rgb="FFFF0000"/>
        <color rgb="FF92D050"/>
      </colorScale>
    </cfRule>
    <cfRule type="colorScale" priority="123">
      <colorScale>
        <cfvo type="min"/>
        <cfvo type="max"/>
        <color rgb="FFFF0000"/>
        <color rgb="FFFF0000"/>
      </colorScale>
    </cfRule>
  </conditionalFormatting>
  <conditionalFormatting sqref="O17">
    <cfRule type="colorScale" priority="71">
      <colorScale>
        <cfvo type="num" val="20"/>
        <cfvo type="num" val="200"/>
        <color rgb="FFFF0000"/>
        <color theme="9" tint="0.39994506668294322"/>
      </colorScale>
    </cfRule>
  </conditionalFormatting>
  <conditionalFormatting sqref="P19">
    <cfRule type="colorScale" priority="27">
      <colorScale>
        <cfvo type="num" val="0.2"/>
        <cfvo type="num" val="1"/>
        <color rgb="FFFF0000"/>
        <color theme="9" tint="0.39994506668294322"/>
      </colorScale>
    </cfRule>
  </conditionalFormatting>
  <conditionalFormatting sqref="O21">
    <cfRule type="expression" dxfId="6" priority="20">
      <formula>AND(O21&gt;=50,O21&lt;150)</formula>
    </cfRule>
  </conditionalFormatting>
  <conditionalFormatting sqref="K24">
    <cfRule type="expression" dxfId="5" priority="2">
      <formula>K24&lt;50</formula>
    </cfRule>
    <cfRule type="expression" dxfId="4" priority="13">
      <formula>AND(K24&gt;=50,K24&lt;100)</formula>
    </cfRule>
  </conditionalFormatting>
  <conditionalFormatting sqref="P31">
    <cfRule type="colorScale" priority="1">
      <colorScale>
        <cfvo type="num" val="0.2"/>
        <cfvo type="num" val="1"/>
        <color rgb="FFFF0000"/>
        <color theme="9" tint="0.39994506668294322"/>
      </colorScale>
    </cfRule>
  </conditionalFormatting>
  <conditionalFormatting sqref="P32">
    <cfRule type="colorScale" priority="47">
      <colorScale>
        <cfvo type="num" val="0.2"/>
        <cfvo type="num" val="1"/>
        <color rgb="FFFF0000"/>
        <color theme="9" tint="0.39994506668294322"/>
      </colorScale>
    </cfRule>
  </conditionalFormatting>
  <conditionalFormatting sqref="P33">
    <cfRule type="expression" dxfId="3" priority="10">
      <formula>(P33-TODAY())&lt;30</formula>
    </cfRule>
  </conditionalFormatting>
  <conditionalFormatting sqref="J34">
    <cfRule type="expression" dxfId="2" priority="9">
      <formula>(J34-TODAY())&lt;30</formula>
    </cfRule>
  </conditionalFormatting>
  <conditionalFormatting sqref="J23:J24">
    <cfRule type="colorScale" priority="66">
      <colorScale>
        <cfvo type="min"/>
        <cfvo type="max"/>
        <color theme="9" tint="0.59999389629810485"/>
        <color theme="9" tint="0.59999389629810485"/>
      </colorScale>
    </cfRule>
  </conditionalFormatting>
  <conditionalFormatting sqref="J25:J27">
    <cfRule type="colorScale" priority="65">
      <colorScale>
        <cfvo type="min"/>
        <cfvo type="max"/>
        <color theme="9" tint="0.59999389629810485"/>
        <color theme="9" tint="0.59999389629810485"/>
      </colorScale>
    </cfRule>
  </conditionalFormatting>
  <conditionalFormatting sqref="K7:K11">
    <cfRule type="colorScale" priority="127">
      <colorScale>
        <cfvo type="min"/>
        <cfvo type="max"/>
        <color theme="9" tint="0.39994506668294322"/>
        <color theme="9" tint="0.59999389629810485"/>
      </colorScale>
    </cfRule>
  </conditionalFormatting>
  <conditionalFormatting sqref="O25:O27 O31:O33">
    <cfRule type="colorScale" priority="6">
      <colorScale>
        <cfvo type="num" val="10"/>
        <cfvo type="num" val="100"/>
        <color rgb="FFFF0000"/>
        <color theme="9" tint="0.39994506668294322"/>
      </colorScale>
    </cfRule>
  </conditionalFormatting>
  <conditionalFormatting sqref="P7:P10">
    <cfRule type="colorScale" priority="76">
      <colorScale>
        <cfvo type="num" val="0.2"/>
        <cfvo type="num" val="1"/>
        <color rgb="FFFF0000"/>
        <color theme="9" tint="0.39994506668294322"/>
      </colorScale>
    </cfRule>
  </conditionalFormatting>
  <conditionalFormatting sqref="P15:P16">
    <cfRule type="colorScale" priority="51">
      <colorScale>
        <cfvo type="num" val="0.2"/>
        <cfvo type="num" val="1"/>
        <color rgb="FFFF0000"/>
        <color theme="9" tint="0.39994506668294322"/>
      </colorScale>
    </cfRule>
  </conditionalFormatting>
  <conditionalFormatting sqref="P17:P18">
    <cfRule type="expression" dxfId="1" priority="22">
      <formula>(P17-TODAY())&lt;30</formula>
    </cfRule>
  </conditionalFormatting>
  <conditionalFormatting sqref="P20:P21">
    <cfRule type="expression" dxfId="0" priority="21">
      <formula>(P20-TODAY())&lt;30</formula>
    </cfRule>
  </conditionalFormatting>
  <conditionalFormatting sqref="P22:P23">
    <cfRule type="colorScale" priority="29">
      <colorScale>
        <cfvo type="num" val="0.2"/>
        <cfvo type="num" val="1"/>
        <color rgb="FFFF0000"/>
        <color theme="9" tint="0.39994506668294322"/>
      </colorScale>
    </cfRule>
  </conditionalFormatting>
  <conditionalFormatting sqref="P25:P27">
    <cfRule type="colorScale" priority="58">
      <colorScale>
        <cfvo type="num" val="0.2"/>
        <cfvo type="num" val="1"/>
        <color rgb="FFFF0000"/>
        <color theme="9" tint="0.39994506668294322"/>
      </colorScale>
    </cfRule>
  </conditionalFormatting>
  <conditionalFormatting sqref="J12:J14">
    <cfRule type="colorScale" priority="148">
      <colorScale>
        <cfvo type="min"/>
        <cfvo type="max"/>
        <color theme="9" tint="0.59999389629810485"/>
        <color theme="9" tint="0.59999389629810485"/>
      </colorScale>
    </cfRule>
  </conditionalFormatting>
  <conditionalFormatting sqref="K12:K15">
    <cfRule type="colorScale" priority="150">
      <colorScale>
        <cfvo type="min"/>
        <cfvo type="max"/>
        <color theme="9" tint="0.59999389629810485"/>
        <color theme="9" tint="0.59999389629810485"/>
      </colorScale>
    </cfRule>
  </conditionalFormatting>
  <conditionalFormatting sqref="J28:J31">
    <cfRule type="colorScale" priority="151">
      <colorScale>
        <cfvo type="min"/>
        <cfvo type="max"/>
        <color theme="9" tint="0.59999389629810485"/>
        <color theme="9" tint="0.59999389629810485"/>
      </colorScale>
    </cfRule>
  </conditionalFormatting>
  <printOptions horizontalCentered="1" verticalCentered="1" gridLines="1"/>
  <pageMargins left="0.23622047244094499" right="0.23622047244094499" top="0.55118110236220497" bottom="0.35433070866141703" header="0.31496062992126" footer="0.31496062992126"/>
  <pageSetup paperSize="9" scale="76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User-07</dc:creator>
  <cp:lastModifiedBy>Юрист</cp:lastModifiedBy>
  <cp:lastPrinted>2021-12-20T07:40:00Z</cp:lastPrinted>
  <dcterms:created xsi:type="dcterms:W3CDTF">2017-03-23T09:00:00Z</dcterms:created>
  <dcterms:modified xsi:type="dcterms:W3CDTF">2022-04-20T09:21:04Z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6516DF82691C40D088DC9131F10CE19B</vt:lpwstr>
  </property>
  <property fmtid="{D5CDD505-2E9C-101B-9397-08002B2CF9AE}" pid="3" name="KSOProductBuildVer">
    <vt:lpwstr>1049-11.2.0.11074</vt:lpwstr>
  </property>
</Properties>
</file>