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13_ncr:1_{F39BAB13-B23D-46C4-915B-704CFD48CC80}" xr6:coauthVersionLast="47" xr6:coauthVersionMax="47" xr10:uidLastSave="{00000000-0000-0000-0000-000000000000}"/>
  <bookViews>
    <workbookView xWindow="-120" yWindow="-120" windowWidth="29040" windowHeight="15840" tabRatio="751" firstSheet="2" activeTab="2" xr2:uid="{00000000-000D-0000-FFFF-FFFF00000000}"/>
  </bookViews>
  <sheets>
    <sheet name="Продление ППП" sheetId="1" state="hidden" r:id="rId1"/>
    <sheet name="Расшифровка лота ДО" sheetId="8" state="hidden" r:id="rId2"/>
    <sheet name="Расшиф.лота с изм.на 01.09.2022" sheetId="2" r:id="rId3"/>
    <sheet name="Лот № 1 расшифровка для ЮД" sheetId="3" state="hidden" r:id="rId4"/>
  </sheets>
  <definedNames>
    <definedName name="_xlnm._FilterDatabase" localSheetId="3" hidden="1">'Лот № 1 расшифровка для ЮД'!$A$4:$AJ$50</definedName>
    <definedName name="_xlnm.Print_Area" localSheetId="0">'Продление ППП'!$A$1:$U$18</definedName>
    <definedName name="_xlnm.Print_Area" localSheetId="2">'Расшиф.лота с изм.на 01.09.2022'!$A$1:$C$49</definedName>
    <definedName name="_xlnm.Print_Area" localSheetId="1">'Расшифровка лота ДО'!$A$1:$E$52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2" i="8" l="1"/>
  <c r="D52" i="8"/>
  <c r="C52" i="8"/>
  <c r="H14" i="3" l="1"/>
  <c r="I47" i="3" l="1"/>
  <c r="O5" i="3" l="1"/>
  <c r="I23" i="3" l="1"/>
  <c r="O46" i="3" l="1"/>
  <c r="O43" i="3"/>
  <c r="O42" i="3"/>
  <c r="O36" i="3" l="1"/>
  <c r="P33" i="3" l="1"/>
  <c r="O32" i="3" l="1"/>
  <c r="O30" i="3"/>
  <c r="O21" i="3" l="1"/>
  <c r="O19" i="3"/>
  <c r="O16" i="3"/>
  <c r="O15" i="3"/>
  <c r="O14" i="3"/>
  <c r="O13" i="3"/>
  <c r="O12" i="3"/>
  <c r="O11" i="3"/>
  <c r="Q8" i="3"/>
  <c r="E8" i="2" s="1"/>
  <c r="O7" i="3"/>
  <c r="R8" i="3" l="1"/>
  <c r="F8" i="2" s="1"/>
  <c r="Q5" i="3" l="1"/>
  <c r="Q6" i="3"/>
  <c r="E6" i="2" s="1"/>
  <c r="Q7" i="3"/>
  <c r="E7" i="2" s="1"/>
  <c r="Q9" i="3"/>
  <c r="E9" i="2" s="1"/>
  <c r="Q10" i="3"/>
  <c r="E10" i="2" s="1"/>
  <c r="Q11" i="3"/>
  <c r="E11" i="2" s="1"/>
  <c r="Q12" i="3"/>
  <c r="E12" i="2" s="1"/>
  <c r="Q13" i="3"/>
  <c r="E13" i="2" s="1"/>
  <c r="Q14" i="3"/>
  <c r="E14" i="2" s="1"/>
  <c r="Q15" i="3"/>
  <c r="E15" i="2" s="1"/>
  <c r="Q16" i="3"/>
  <c r="E16" i="2" s="1"/>
  <c r="Q17" i="3"/>
  <c r="E17" i="2" s="1"/>
  <c r="Q18" i="3"/>
  <c r="E18" i="2" s="1"/>
  <c r="Q19" i="3"/>
  <c r="E19" i="2" s="1"/>
  <c r="Q20" i="3"/>
  <c r="E20" i="2" s="1"/>
  <c r="Q21" i="3"/>
  <c r="E21" i="2" s="1"/>
  <c r="Q22" i="3"/>
  <c r="E22" i="2" s="1"/>
  <c r="Q23" i="3"/>
  <c r="E23" i="2" s="1"/>
  <c r="Q24" i="3"/>
  <c r="E24" i="2" s="1"/>
  <c r="Q25" i="3"/>
  <c r="E25" i="2" s="1"/>
  <c r="Q26" i="3"/>
  <c r="E26" i="2" s="1"/>
  <c r="Q27" i="3"/>
  <c r="E27" i="2" s="1"/>
  <c r="Q28" i="3"/>
  <c r="E28" i="2" s="1"/>
  <c r="Q29" i="3"/>
  <c r="E29" i="2" s="1"/>
  <c r="Q30" i="3"/>
  <c r="E30" i="2" s="1"/>
  <c r="Q31" i="3"/>
  <c r="E31" i="2" s="1"/>
  <c r="Q32" i="3"/>
  <c r="E32" i="2" s="1"/>
  <c r="Q33" i="3"/>
  <c r="E33" i="2" s="1"/>
  <c r="Q34" i="3"/>
  <c r="E34" i="2" s="1"/>
  <c r="Q35" i="3"/>
  <c r="E35" i="2" s="1"/>
  <c r="E36" i="2"/>
  <c r="Q37" i="3"/>
  <c r="E37" i="2" s="1"/>
  <c r="Q38" i="3"/>
  <c r="E38" i="2" s="1"/>
  <c r="Q39" i="3"/>
  <c r="E39" i="2" s="1"/>
  <c r="Q40" i="3"/>
  <c r="E40" i="2" s="1"/>
  <c r="Q41" i="3"/>
  <c r="E41" i="2" s="1"/>
  <c r="Q42" i="3"/>
  <c r="E42" i="2" s="1"/>
  <c r="Q43" i="3"/>
  <c r="E43" i="2" s="1"/>
  <c r="Q44" i="3"/>
  <c r="E44" i="2" s="1"/>
  <c r="Q45" i="3"/>
  <c r="E45" i="2" s="1"/>
  <c r="Q46" i="3"/>
  <c r="E46" i="2" s="1"/>
  <c r="Q47" i="3"/>
  <c r="E47" i="2" s="1"/>
  <c r="Q48" i="3"/>
  <c r="E48" i="2" s="1"/>
  <c r="Q49" i="3"/>
  <c r="E49" i="2" s="1"/>
  <c r="I49" i="3"/>
  <c r="H49" i="3"/>
  <c r="I48" i="3"/>
  <c r="L48" i="3" s="1"/>
  <c r="D48" i="2" s="1"/>
  <c r="I45" i="3"/>
  <c r="L45" i="3" s="1"/>
  <c r="D45" i="2" s="1"/>
  <c r="I44" i="3"/>
  <c r="H44" i="3"/>
  <c r="I43" i="3"/>
  <c r="H43" i="3"/>
  <c r="I42" i="3"/>
  <c r="H42" i="3"/>
  <c r="I41" i="3"/>
  <c r="L41" i="3" s="1"/>
  <c r="D41" i="2" s="1"/>
  <c r="I40" i="3"/>
  <c r="L40" i="3" s="1"/>
  <c r="D40" i="2" s="1"/>
  <c r="I38" i="3"/>
  <c r="H38" i="3"/>
  <c r="I37" i="3"/>
  <c r="L37" i="3" s="1"/>
  <c r="D37" i="2" s="1"/>
  <c r="I35" i="3"/>
  <c r="L35" i="3" s="1"/>
  <c r="D35" i="2" s="1"/>
  <c r="I34" i="3"/>
  <c r="L34" i="3" s="1"/>
  <c r="D34" i="2" s="1"/>
  <c r="I33" i="3"/>
  <c r="I32" i="3"/>
  <c r="L32" i="3" s="1"/>
  <c r="D32" i="2" s="1"/>
  <c r="I30" i="3"/>
  <c r="L30" i="3" s="1"/>
  <c r="D30" i="2" s="1"/>
  <c r="I29" i="3"/>
  <c r="L29" i="3" s="1"/>
  <c r="D29" i="2" s="1"/>
  <c r="I28" i="3"/>
  <c r="L28" i="3" s="1"/>
  <c r="D28" i="2" s="1"/>
  <c r="I27" i="3"/>
  <c r="L27" i="3" s="1"/>
  <c r="D27" i="2" s="1"/>
  <c r="I26" i="3"/>
  <c r="L26" i="3" s="1"/>
  <c r="D26" i="2" s="1"/>
  <c r="I25" i="3"/>
  <c r="L25" i="3" s="1"/>
  <c r="D25" i="2" s="1"/>
  <c r="I24" i="3"/>
  <c r="I22" i="3"/>
  <c r="I21" i="3"/>
  <c r="I20" i="3"/>
  <c r="L20" i="3" s="1"/>
  <c r="D20" i="2" s="1"/>
  <c r="I19" i="3"/>
  <c r="L19" i="3" s="1"/>
  <c r="D19" i="2" s="1"/>
  <c r="I16" i="3"/>
  <c r="H16" i="3"/>
  <c r="I15" i="3"/>
  <c r="L15" i="3" s="1"/>
  <c r="D15" i="2" s="1"/>
  <c r="I14" i="3"/>
  <c r="I13" i="3"/>
  <c r="L13" i="3" s="1"/>
  <c r="D13" i="2" s="1"/>
  <c r="I12" i="3"/>
  <c r="L12" i="3" s="1"/>
  <c r="D12" i="2" s="1"/>
  <c r="I11" i="3"/>
  <c r="L11" i="3" s="1"/>
  <c r="D11" i="2" s="1"/>
  <c r="I10" i="3"/>
  <c r="L10" i="3" s="1"/>
  <c r="D10" i="2" s="1"/>
  <c r="I9" i="3"/>
  <c r="L9" i="3" s="1"/>
  <c r="D9" i="2" s="1"/>
  <c r="I8" i="3"/>
  <c r="I5" i="3"/>
  <c r="L5" i="3" s="1"/>
  <c r="L6" i="3"/>
  <c r="D6" i="2" s="1"/>
  <c r="L7" i="3"/>
  <c r="D7" i="2" s="1"/>
  <c r="L8" i="3"/>
  <c r="D8" i="2" s="1"/>
  <c r="L17" i="3"/>
  <c r="D17" i="2" s="1"/>
  <c r="L18" i="3"/>
  <c r="D18" i="2" s="1"/>
  <c r="L21" i="3"/>
  <c r="D21" i="2" s="1"/>
  <c r="L23" i="3"/>
  <c r="D23" i="2" s="1"/>
  <c r="L24" i="3"/>
  <c r="D24" i="2" s="1"/>
  <c r="L31" i="3"/>
  <c r="D31" i="2" s="1"/>
  <c r="L33" i="3"/>
  <c r="D33" i="2" s="1"/>
  <c r="L36" i="3"/>
  <c r="D36" i="2" s="1"/>
  <c r="L39" i="3"/>
  <c r="D39" i="2" s="1"/>
  <c r="L46" i="3"/>
  <c r="D46" i="2" s="1"/>
  <c r="L47" i="3"/>
  <c r="D47" i="2" s="1"/>
  <c r="D5" i="2" l="1"/>
  <c r="L43" i="3"/>
  <c r="D43" i="2" s="1"/>
  <c r="R40" i="3"/>
  <c r="F40" i="2" s="1"/>
  <c r="L38" i="3"/>
  <c r="D38" i="2" s="1"/>
  <c r="L42" i="3"/>
  <c r="D42" i="2" s="1"/>
  <c r="L44" i="3"/>
  <c r="D44" i="2" s="1"/>
  <c r="E5" i="2"/>
  <c r="Q50" i="3"/>
  <c r="L49" i="3"/>
  <c r="D49" i="2" s="1"/>
  <c r="R28" i="3"/>
  <c r="F28" i="2" s="1"/>
  <c r="R47" i="3"/>
  <c r="F47" i="2" s="1"/>
  <c r="R45" i="3"/>
  <c r="F45" i="2" s="1"/>
  <c r="R43" i="3"/>
  <c r="F43" i="2" s="1"/>
  <c r="R41" i="3"/>
  <c r="F41" i="2" s="1"/>
  <c r="R39" i="3"/>
  <c r="F39" i="2" s="1"/>
  <c r="R37" i="3"/>
  <c r="F37" i="2" s="1"/>
  <c r="R35" i="3"/>
  <c r="F35" i="2" s="1"/>
  <c r="R33" i="3"/>
  <c r="F33" i="2" s="1"/>
  <c r="R31" i="3"/>
  <c r="F31" i="2" s="1"/>
  <c r="R29" i="3"/>
  <c r="F29" i="2" s="1"/>
  <c r="R27" i="3"/>
  <c r="F27" i="2" s="1"/>
  <c r="R25" i="3"/>
  <c r="F25" i="2" s="1"/>
  <c r="R22" i="3"/>
  <c r="F22" i="2" s="1"/>
  <c r="R20" i="3"/>
  <c r="F20" i="2" s="1"/>
  <c r="R18" i="3"/>
  <c r="F18" i="2" s="1"/>
  <c r="R16" i="3"/>
  <c r="F16" i="2" s="1"/>
  <c r="R14" i="3"/>
  <c r="F14" i="2" s="1"/>
  <c r="R12" i="3"/>
  <c r="F12" i="2" s="1"/>
  <c r="R10" i="3"/>
  <c r="F10" i="2" s="1"/>
  <c r="R6" i="3"/>
  <c r="F6" i="2" s="1"/>
  <c r="R48" i="3"/>
  <c r="F48" i="2" s="1"/>
  <c r="R23" i="3"/>
  <c r="F23" i="2" s="1"/>
  <c r="R34" i="3"/>
  <c r="F34" i="2" s="1"/>
  <c r="R49" i="3"/>
  <c r="F49" i="2" s="1"/>
  <c r="R46" i="3"/>
  <c r="F46" i="2" s="1"/>
  <c r="R44" i="3"/>
  <c r="F44" i="2" s="1"/>
  <c r="R42" i="3"/>
  <c r="F42" i="2" s="1"/>
  <c r="R38" i="3"/>
  <c r="F38" i="2" s="1"/>
  <c r="R36" i="3"/>
  <c r="F36" i="2" s="1"/>
  <c r="R32" i="3"/>
  <c r="F32" i="2" s="1"/>
  <c r="R30" i="3"/>
  <c r="F30" i="2" s="1"/>
  <c r="R26" i="3"/>
  <c r="F26" i="2" s="1"/>
  <c r="R24" i="3"/>
  <c r="F24" i="2" s="1"/>
  <c r="R21" i="3"/>
  <c r="F21" i="2" s="1"/>
  <c r="R19" i="3"/>
  <c r="F19" i="2" s="1"/>
  <c r="R17" i="3"/>
  <c r="F17" i="2" s="1"/>
  <c r="R15" i="3"/>
  <c r="F15" i="2" s="1"/>
  <c r="R13" i="3"/>
  <c r="F13" i="2" s="1"/>
  <c r="R11" i="3"/>
  <c r="F11" i="2" s="1"/>
  <c r="R9" i="3"/>
  <c r="F9" i="2" s="1"/>
  <c r="R7" i="3"/>
  <c r="F7" i="2" s="1"/>
  <c r="L14" i="3"/>
  <c r="D14" i="2" s="1"/>
  <c r="R5" i="3"/>
  <c r="L22" i="3"/>
  <c r="D22" i="2" s="1"/>
  <c r="L16" i="3"/>
  <c r="D16" i="2" s="1"/>
  <c r="L50" i="3" l="1"/>
  <c r="G14" i="1" s="1"/>
  <c r="G15" i="1" s="1"/>
  <c r="R50" i="3"/>
  <c r="H14" i="1" s="1"/>
  <c r="E50" i="2"/>
  <c r="D50" i="2"/>
  <c r="F5" i="2"/>
  <c r="F50" i="2" s="1"/>
  <c r="H15" i="1" l="1"/>
  <c r="I14" i="1"/>
  <c r="I15" i="1" l="1"/>
  <c r="J14" i="1"/>
  <c r="J15" i="1" l="1"/>
  <c r="K14" i="1"/>
  <c r="K15" i="1" l="1"/>
  <c r="O14" i="1"/>
  <c r="O15" i="1" s="1"/>
  <c r="S14" i="1"/>
  <c r="S15" i="1" s="1"/>
  <c r="P14" i="1"/>
  <c r="P15" i="1" s="1"/>
  <c r="L14" i="1"/>
  <c r="L15" i="1" s="1"/>
  <c r="M14" i="1"/>
  <c r="M15" i="1" s="1"/>
  <c r="N14" i="1"/>
  <c r="N15" i="1" s="1"/>
  <c r="R14" i="1"/>
  <c r="R15" i="1" s="1"/>
  <c r="Q14" i="1"/>
  <c r="Q15" i="1" s="1"/>
  <c r="AH5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H36" authorId="0" shapeId="0" xr:uid="{00000000-0006-0000-0300-000001000000}">
      <text>
        <r>
          <rPr>
            <b/>
            <sz val="9"/>
            <color indexed="81"/>
            <rFont val="Tahoma"/>
            <family val="2"/>
            <charset val="204"/>
          </rPr>
          <t>Автор:</t>
        </r>
        <r>
          <rPr>
            <sz val="9"/>
            <color indexed="81"/>
            <rFont val="Tahoma"/>
            <family val="2"/>
            <charset val="204"/>
          </rPr>
          <t xml:space="preserve">
технический актив</t>
        </r>
      </text>
    </comment>
  </commentList>
</comments>
</file>

<file path=xl/sharedStrings.xml><?xml version="1.0" encoding="utf-8"?>
<sst xmlns="http://schemas.openxmlformats.org/spreadsheetml/2006/main" count="1032" uniqueCount="331">
  <si>
    <t>Приложение № 1.3</t>
  </si>
  <si>
    <t xml:space="preserve">Полное и краткое наименование кредитной организации </t>
  </si>
  <si>
    <t>АКБ "Енисей" ПАО</t>
  </si>
  <si>
    <t>Количество периодов торгов посредством публичного предложения (далее - торги ППП)</t>
  </si>
  <si>
    <t>Форма представления предложения по цене (открытая/закрытая)</t>
  </si>
  <si>
    <t>открытая</t>
  </si>
  <si>
    <t>Продолжительность каждого периода торгов ППП (далее - периоды торгов) в календарных днях (не менее 7 дней)</t>
  </si>
  <si>
    <t>Процент снижения начальной цены имущества на каждом периоде торгов, начиная со второго периода торгов (от начальной цены продажи на первом периоде торгов)</t>
  </si>
  <si>
    <t xml:space="preserve">Лоты, выставляемые на торги </t>
  </si>
  <si>
    <t>№ лота</t>
  </si>
  <si>
    <t>Наименование лота</t>
  </si>
  <si>
    <t>Местонахождение (регион)</t>
  </si>
  <si>
    <t>Подтип активов</t>
  </si>
  <si>
    <t>Сведения об имуществе</t>
  </si>
  <si>
    <t>Начальная цена продажи лотов, руб.</t>
  </si>
  <si>
    <t>Наличие обременений и ограничений</t>
  </si>
  <si>
    <t xml:space="preserve">на первом периоде торгов ППП </t>
  </si>
  <si>
    <t>ПРАВА ТРЕБОВАНИЯ К ФИЗИЧЕСКИМ ЛИЦАМ</t>
  </si>
  <si>
    <t>Красноярский край</t>
  </si>
  <si>
    <t>ИТОГО:</t>
  </si>
  <si>
    <t xml:space="preserve">Представитель конкурсного управляющего 
АКБ «ЕНИСЕЙ» (ПАО)
</t>
  </si>
  <si>
    <t>А.Ф. Мелентьев</t>
  </si>
  <si>
    <t>Расшифровка сборных лотов</t>
  </si>
  <si>
    <t xml:space="preserve"> Лот № 1</t>
  </si>
  <si>
    <t>Наименование имущества (позиций)</t>
  </si>
  <si>
    <t xml:space="preserve">ПРАВА ТРЕБОВАНИЯ К ФИЗИЧЕСКИМ ЛИЦАМ </t>
  </si>
  <si>
    <t>Краткая характеристика залога</t>
  </si>
  <si>
    <t xml:space="preserve">дата окончания по договору </t>
  </si>
  <si>
    <t xml:space="preserve">Ход и результат исполнительного производства </t>
  </si>
  <si>
    <t>Исполнительный документ</t>
  </si>
  <si>
    <t>Исполнительное производство</t>
  </si>
  <si>
    <t>Дата возбуждения ИП</t>
  </si>
  <si>
    <t>Дата прекращения ИП</t>
  </si>
  <si>
    <t>Основание прекращения ИП</t>
  </si>
  <si>
    <t>Стадия взыскания (судебна/досудебная/послесудебная)</t>
  </si>
  <si>
    <t>Тип кредитного продукта (ипотека, автокредит, потреб, овердрафт)</t>
  </si>
  <si>
    <t>Количество дней просрочки</t>
  </si>
  <si>
    <t>Кол-во КД</t>
  </si>
  <si>
    <t>г. Красноярск</t>
  </si>
  <si>
    <t>нет залога</t>
  </si>
  <si>
    <t>-</t>
  </si>
  <si>
    <t xml:space="preserve"> ВС 053556549 от 30.08.2013</t>
  </si>
  <si>
    <t>судебная</t>
  </si>
  <si>
    <t>потреб</t>
  </si>
  <si>
    <t>нет</t>
  </si>
  <si>
    <t>24.07.2020 направлен запрос о ходе ИП и предоставлении документов</t>
  </si>
  <si>
    <t>13961/18/24002-ИП</t>
  </si>
  <si>
    <t>ФС 027410368 от 09.01.2019</t>
  </si>
  <si>
    <t>2856/19/24013-ИП
2856/19/24013-СД</t>
  </si>
  <si>
    <t>8432/20/24057-ИП</t>
  </si>
  <si>
    <t>27.04.2017
15.05.2017</t>
  </si>
  <si>
    <t>Окончено</t>
  </si>
  <si>
    <t>22866/18/24002-ИП</t>
  </si>
  <si>
    <t>ст 46 ч 1 п 3</t>
  </si>
  <si>
    <t>1646
1631</t>
  </si>
  <si>
    <t>122504/20/24014-ИП
33314/18/24014-СД</t>
  </si>
  <si>
    <t>ИЛ от 21.06.2013 № 046781896</t>
  </si>
  <si>
    <t>7443/13/49/24
4184/13/49/24-СД</t>
  </si>
  <si>
    <t xml:space="preserve">10256/21/24089-ИП </t>
  </si>
  <si>
    <t>5306/19/24009-ИП</t>
  </si>
  <si>
    <t>20345/18/19017-ИП</t>
  </si>
  <si>
    <t xml:space="preserve">ст. 46 п.4 ч.1 </t>
  </si>
  <si>
    <t>21.01.2017
07.11.2016</t>
  </si>
  <si>
    <t>ИЛ от 12.10.2018 серии ФС № 021026989</t>
  </si>
  <si>
    <t>113341/18/24011-ИП
100905/18/24011-СД</t>
  </si>
  <si>
    <t xml:space="preserve">ст.46 п.3 ч.1 </t>
  </si>
  <si>
    <t>1532
1575</t>
  </si>
  <si>
    <t>6883/18/24002-ИП</t>
  </si>
  <si>
    <t>судебный приказ дело № 2-105/55-2018 от 24.01.2018</t>
  </si>
  <si>
    <t>19688/21/24026-ИП</t>
  </si>
  <si>
    <t>овердрафт</t>
  </si>
  <si>
    <t>ИЛ от 10.08.2018 № ФС № 024104290</t>
  </si>
  <si>
    <t>28156/18/24002-ИП
36700/17/24002-СД</t>
  </si>
  <si>
    <t>ИЛ от 26.04.2018 серии № ФС № 024152302</t>
  </si>
  <si>
    <t>17393/18/24002-ИП</t>
  </si>
  <si>
    <t>ст. 46 п.4 ч.1</t>
  </si>
  <si>
    <t xml:space="preserve">29.08.2014 вынесено постановление об окончании о невозможности взыскания, в связи с отсутствием имущества у должника. 13.08.2020 направлено заявление о предоставлении копии решения суда и ИЛ.  </t>
  </si>
  <si>
    <t>Судебный приказ от 12.12.2012 №2-1409/2012</t>
  </si>
  <si>
    <t>Осуществляются мероприятия по розыску должника и его имущества, 24.07.2020 направлен запрос о ходе ИП и предоставлении документов</t>
  </si>
  <si>
    <t>на сайте УФССП информация отсутствует</t>
  </si>
  <si>
    <t>ст.46 п.3 ч.1</t>
  </si>
  <si>
    <t>ст. 46 ч. 1 п. 3</t>
  </si>
  <si>
    <t>ст. 46 ч. 1 п. 3
ст. 46 ч. 1 п. 3</t>
  </si>
  <si>
    <t>Постановление о возбуждении ИП №24002/18/127304 от 10/07/2018</t>
  </si>
  <si>
    <t>22867/18/24002-ИП</t>
  </si>
  <si>
    <t>ст. 46 п.3 ч.1</t>
  </si>
  <si>
    <t>544/13/10/24</t>
  </si>
  <si>
    <t>14376/18/24002-ИП
23357/18/24002-ИП</t>
  </si>
  <si>
    <t>ВС № 009728566 от 25.05.2012</t>
  </si>
  <si>
    <t>15534/15/24002-ИП</t>
  </si>
  <si>
    <t>22430/18/24002-ИП</t>
  </si>
  <si>
    <t>61291/14/19034-ИП</t>
  </si>
  <si>
    <t>10849/11/10/24</t>
  </si>
  <si>
    <t>16092/18/24002-ИП</t>
  </si>
  <si>
    <t xml:space="preserve"> ИЛ от 13.02.2015 № ФС № 000672853</t>
  </si>
  <si>
    <t>24627/17/24002-ИП</t>
  </si>
  <si>
    <t>105270/18/24026-ИП</t>
  </si>
  <si>
    <t>6956/18/24002-ИП</t>
  </si>
  <si>
    <t>п.3 ч.1 ст.46.</t>
  </si>
  <si>
    <t>407298/18/77041-ИП</t>
  </si>
  <si>
    <t xml:space="preserve">ИД направлен в ОСП по Октябрьскому району
 г. Красноярска
</t>
  </si>
  <si>
    <t>15.05.14 оплачивает сама ч.з СПИ. 16.10.14 выезд. в ОСБ счет ДС нет. ПФ –центр занятости. ГИБДД-нет. мегафон 8-923-292-39-72- доступен перезвонила. оплачивает ч.з ОСБ на депозит отдела. а они нам. Предложила напрямую ч.з отделение СМС направлены реквизиты. 14.07.15 в июне 1т.р. не перечислена. 15.11.2016-14.11.16 опл. 2тыс.23.03.17=1тыс.  24.08.2017 постановление об объединении в сводное ИП. 14.12.2017 Запрос в ГИБДД. 14.12.2017 Запрос в ПФР. 14.12.2017 Запрос оператору сотовой связи. 14.12.2017 Запрос в УФМС. 14.12.2017 Запрос в банки. 26.12.2017 Постановление о запрете на регистрационные действия ТС. 14.03.2018 запрос о предоставлении сведений по ИП. ответ не получен. 20.04.2018 запрос на предоставлении информации в электронном виде. 31.05.2018 сводка по ИП.  07.06.2018 запрос о предоставлении информации по ИП. получена сводка по ИП  02.07.2018 запрос на предорствление информации и копий документов по ИП06.06.2019 исполнителем в УФССП предъявлено заявление о принятии СПИ мер по своевременному, полному и правильному исполнению исполнительного документа в отношении должника, в том числе совершение выхода по месту жительства должника в целях описи, ареста и изъятия имущества должника.05.08.2019 совместно с судебным приставом-исполнителем проведена работа по ознакомлению с материалами исполнительного производства. В результате судебный пристав-исполнитель обновил запросы.09.08.2019 по сайту Арбитражного суда проведена проверка-актуализация на предмет банкротства должника. 26.08.2019 проведена актуализация данных сайта ФССП России.11.11.2019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 17.07.2020 Почтой России был отправлен запрос о предоставлении сводной информации по ИП в ГУФССП России (31.07.2020 подано через "ящик для обращений")21.07.2020 Проведена актуализация данных с сайтом ФССП в результате которой выявлена информация: ИП не находится.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России);07.08.2020 почтой России направлено заявление о ходе ИП и предоставлении документов.</t>
  </si>
  <si>
    <t>ВС № 090183643 от 24.12.2021</t>
  </si>
  <si>
    <t>% ставка</t>
  </si>
  <si>
    <t>25.00
25.00</t>
  </si>
  <si>
    <t>20.00
20.00</t>
  </si>
  <si>
    <t>Наличие кредитной документации
да/нет</t>
  </si>
  <si>
    <t>НЕТ</t>
  </si>
  <si>
    <t>ДА</t>
  </si>
  <si>
    <t>Агафонов Николай Алексеевич, КД 9600-701-018 от 13.10.2010, судебный приказ судебного участка 138 в Железнодорожном районе г. Красноярска от 02.03.2015 по делу 2-353/138/2015, г. Красноярск</t>
  </si>
  <si>
    <t>Налобин Сергей Борисович, КД 9200-701-393 от 21.07.2006, заочное решение судебного участка №119 Рыбинского района Красноярского края от 22.04.2013 по делу 2-202-119-/13, г. Красноярск</t>
  </si>
  <si>
    <t>Покусаев Александр Петрович, КД 9400-701-412 от 11.09.2006, судебный приказ судебного участка 138 в Железнодорожном районе г. Красноярска от 02.06.2011 по делу 2-1113/138/2011, заочное решение судебного участка 138 в Железнодорожном районе г. Красноярска от 11.09.2014 по делу 2-1379/138/2014, г. Красноярск</t>
  </si>
  <si>
    <t>Селезнев Игорь Валерьевич, КД РО-0036/2016 от 11.08.2016, заочное решение судебного участка 312 Останкинского района г. Москвы от 24.12.2021 по делу 2-1472/2021, г. Красноярск</t>
  </si>
  <si>
    <t>Семашко Юрий Алексеевич, КД 9600-101-600 от 16.05.2008, судебный приказ судебного участка 88 в Советском районе г. Красноярска от 28.05.2018 по делу 2-1414/2018(88), г. Красноярск</t>
  </si>
  <si>
    <t>Терех Владимир Кондратьевич, КД ГО-0054/2016 от 02.12.2016, судебный приказ судебного участка 100 г. Москвы от 13.12.2017 по делу 02-0543/100/2017, г. Красноярск</t>
  </si>
  <si>
    <t>Бодягина Татьяна Александровна, КД 9700-101-082 от 15.02.2008, решение Абанского районного суда Красноярского края от 24.04.2012 по делу 2-113/2012, г. Красноярск</t>
  </si>
  <si>
    <t>Винтер Наталья Юрьевна, КД 9600-001-006 от 18.02.2014, судебный приказ судебного участка 129 Уярского района Красноярского края от 16.02.2018 по делу 02-0342/129/2018, г. Красноярск</t>
  </si>
  <si>
    <t>Волков Анатолий Владимирович, КД 9900-701-154 от 14.06.2012, судебный приказ судебного участка 62 Ленинского района г. Красноярска от 23.01.2018 по делу 02-0187/62/2018, г. Красноярск</t>
  </si>
  <si>
    <t>Воробьев Дмитрий Александрович, КД 9600-701-245 от 16.12.2011, заочное решение Советского районного суда г. Красноярска от 25.06.2018 по делу № 2-7500/18, г. Красноярск</t>
  </si>
  <si>
    <t>Гавриченко Ирина Николаевна, КД 9100-701-534 от 07.11.2014, судебный приказ судебного участка 22 в Емельяновском районе Красноярского края от 20.10.2017 по делу 2-1908/22/2017, г. Красноярск</t>
  </si>
  <si>
    <t>Зубрицкий Виктор Владимирович, КД 8042-601-410 от 10.07.2013, решение Дивногорского городского суда Красноярского края от 29.06.2018 по делу 2-127/2018, г. Красноярск</t>
  </si>
  <si>
    <t>Иванова Вероника Сергеевна, КД 8042-001-376 от 28.04.2012, КД 8042-001-381 от 15.05.2012, судебный приказ судебного участка 52 Кировского района г. Красноярска от 16.01.2018 по делу 2-91/52-2018, г. Красноярск</t>
  </si>
  <si>
    <t>Калугин Евгений Евгеньевич, КД 9700-701-075 от 10.06.2011, решение судебного участка 138 в Железнодорожном районе г. Красноярска от 21.01.2015 по делу 2-103/138/2015, г. Красноярск</t>
  </si>
  <si>
    <t>Коротыгина Людмила Филипповна, КД 8042-701-561 от 27.06.2006, судебный приказ судебного участка 89 в Центральном районе г. Красноярска от 27.03.2013 по делу 02-0307/89/2013, г. Красноярск</t>
  </si>
  <si>
    <t>Криволуцкая Динара Наильевна, КД 9600-701-266 от 20.02.2012, судебный приказ судебного участка 81 в Советском районе г. Красноярска от 20.12.2017 по делу 2-3125/2017, г. Красноярск</t>
  </si>
  <si>
    <t>Кудина Татьяна Федотовна, КД 666-01-001 от 10.01.2007, судебный приказ судебного участка 62 в Ленинском районе г. Красноярска №2-1352/2021 от 28.11.2012 по делу 2-1352/2012, г. Красноярск</t>
  </si>
  <si>
    <t>Левченко Олег Леонидович, КД 9600-701-120 от 10.09.2014, судебный приказ судебного участка 85 в Советском районе г. Красноярска от 08.11.2017 по делу 2-2674/85/2017, г. Красноярск</t>
  </si>
  <si>
    <t>Микульский Алексей Сергеевич, КД 9200-601-001 от 23.04.2010, заочное решение Железнодорожного районного суда г. Красноярска от 07.06.2016 по делу 2-3134/2016, г. Красноярск</t>
  </si>
  <si>
    <t>Овсепян Людмила Анатольевна, КД 8042-601-379 от 26.03.2013, заочное решение Кировского районного суда г. Красноярска от 01.03.2018 по делу 2-691/2018, г. Красноярск</t>
  </si>
  <si>
    <t>Осипов Александр Владимирович, КД 666-01-060 от 25.06.2007, судебный приказ судебного участка 67 в Октябрьском районе от 12.12.2012 по делу 2-1409/2012, г. Красноярск</t>
  </si>
  <si>
    <t>Парфенов Сергей Васильевич, КД 9800-701-110 от 12.12.2011, судебный приказ судебного участка 28 в ЗАТО г. Железногорска от 20.07.2018 по делу 2-726-28/2018, г.  Красноярск</t>
  </si>
  <si>
    <t>Петров Роман Вячеславович, КД 9600-701-170 от 17.12.2013, судебный приказ судебного участка 78 в Советском районе г. Красноярска от 01.11.2017 по делу 02-2000/2017(78), г. Красноярск</t>
  </si>
  <si>
    <t>Пивоварова Анна Валерьевна, КД 9100-701-190 от 06.02.2012, судебный приказ судебного участка 66 в Октябрьском районе г. Красноярска от 19.12.2017 по делу 2-2247/2017/66, г. Красноярск</t>
  </si>
  <si>
    <t>Притчин Сергей Владимирович, КД 9800-701-135 от 09.04.2012, решение Железногорского районного суда Красноярского края от 30.08.2013 по делу 2-1332/2013, г. Красноярск</t>
  </si>
  <si>
    <t>Рябинкина Валентина Юрьевна, КД 666-01-019 от 27.05.2008, судебный приказ судебного участка 68 в Октябрьском районе г. Красноярска от 10.12.2012 по делу 2-1373/2012 /68, г.  Красноярск</t>
  </si>
  <si>
    <t>Савельев Анатолий Георгиевич, КД 8042-701-246 от 15.05.2013, судебный приказ судебного участка 68 в Октябрьском районе г. Красноярска от 06.06.2015 по делу 2-941/2018/68, определение судебного участка 68 в Октябрьском районе г. Красноярска от 13.06.2019 по делу 2-941/68/2018, г.  Красноярск</t>
  </si>
  <si>
    <t>Семенов Николай Владимирович, КД 8210-001-046 от 15.04.2013, судебный приказ судебного участка 3 г. Саяногорска по Республике Хакасия от 18.06.2018 по делу 2-3-1655/2018, г. Красноярск</t>
  </si>
  <si>
    <t>Сокол Наталья Александровна, КД 8042-601-462 от 06.11.2014, судебный приказ судебного участка 62 в Ленинском районе г. Красноярска от 12.02.2018 по делу 2-373/2018, г. Красноярск</t>
  </si>
  <si>
    <t>Степанов Андрей Иванович, КД 8042-401-180 от 16.07.2013, судебный приказ судебного участка 69 в Октябрьском районе г. Красноярска от 15.06.2016 по делу 2-663/69/2016, г. Красноярск</t>
  </si>
  <si>
    <t>Таранцова Юлия Петровна, КД 8046-701-1171 от 24.01.2014, судебный приказ судебного участка 78 в Советском районе г. Красноярска от 30.03.2018 по делу 2-166/18/78, г. Красноярск</t>
  </si>
  <si>
    <t>Фабианский Владимир Константинович, КД 9300-701-157 от 22.01.2014, КД 9300-701-269 от 07.11.2014г., заочное решение Советского районного суда г. Красноярска от 22.08.2018 по делу 2-21278/2018, г. Красноярск</t>
  </si>
  <si>
    <t>Фадеева Юлия Николаевна, КД 9090-701-597 от 03.07.2014, судебный приказ судебного участка 46 в Железнодорожном районе г. Красноярска от 31.10.2017 по делу 02-3377/46/2017, г. Красноярск</t>
  </si>
  <si>
    <t>Филоненко Николай Николаевич, КД 9300-701-253 от 01.10.2014, судебный приказ судебного участка 55 в кировском районе от 31.10.2017 по делу 2-1137/55-2017, г. Красноярск</t>
  </si>
  <si>
    <t>Фрайс Наталья Борисовна, КД 8200-101-517 от 17.05.2006, решение Абаканского городского суда Республики Хакасия от 27.08.2014 по делу 2-6163/2014, г. Красноярск</t>
  </si>
  <si>
    <t>Шелехова Наталья Александровна, КД 666-01-009 от 27.02.2007, судебный приказ судебного участка 138 в Железнодорожном районе г. Красноярска от 23.01.2009 по делу 2-223/2009, г. Красноярск</t>
  </si>
  <si>
    <t>Шмыков Василий Евгеньевич, КД ГО-0049/2016  от 08.11.2016, судебный приказ судебного участка 112 Люберецкого района Московской области от 10.05.2018 по делу № 2-308/18, г. Красноярск</t>
  </si>
  <si>
    <t>Юдин Юрий Владимирович, КД 9300-701-220 от 03.07.2014, судебный приказ судебного участка 55 в Кировском районе г. Красноярска от 24.01.2018 по делу 2-105/55-2018, г. Красноярск</t>
  </si>
  <si>
    <t>судебный приказ судебного участка 138 в Железнодорожном районе г. Красноярска от 02.03.2015 по делу 2-353/138/2015</t>
  </si>
  <si>
    <t>решение Абанского районного суда Красноярского края от 24.04.2012 по делу 2-113/2012</t>
  </si>
  <si>
    <t>судебный приказ судебного участка 129 Уярского района Красноярского края от 16.02.2018 по делу 02-0342/129/2018</t>
  </si>
  <si>
    <t>заочное решение Советского районного суда г. Красноярска от 25.06.2018 по делу № 2-7500/18</t>
  </si>
  <si>
    <t>судебный приказ судебного участка 22 в Емельяновском районе Красноярского края от 20.10.2017 по делу 2-1908/22/2017</t>
  </si>
  <si>
    <t>решение Дивногорского городского суда Красноярского края от 29.06.2018 по делу 2-127/2018</t>
  </si>
  <si>
    <t>судебный приказ судебного участка 52 Кировского района г. Красноярска от 16.01.2018 по делу 2-91/52-2018</t>
  </si>
  <si>
    <t>решение судебного участка 138 в Железнодорожном районе г. Красноярска от 21.01.2015 по делу 2-103/138/2015</t>
  </si>
  <si>
    <t>судебный приказ судебного участка 89 в Центральном районе г. Красноярска от 27.03.2013 по делу 02-0307/89/2013</t>
  </si>
  <si>
    <t>судебный приказ судебного участка 81 в Советском районе г. Красноярска от 20.12.2017 по делу 2-3125/2017</t>
  </si>
  <si>
    <t>судебный приказ судебного участка 62 в Ленинском районе г. Красноярска №2-1352/2021 от 28.11.2012 по делу 2-1352/2012</t>
  </si>
  <si>
    <t>судебный приказ судебного участка 85 в Советском районе г. Красноярска от 08.11.2017 по делу 2-2674/85/2017</t>
  </si>
  <si>
    <t>заочное решение Железнодорожного районного суда г. Красноярска от 07.06.2016 по делу 2-3134/2016</t>
  </si>
  <si>
    <t>заочное решение судебного участка №119 Рыбинского района Красноярского края от 22.04.2013 по делу 2-202-119-/13</t>
  </si>
  <si>
    <t>заочное решение Кировского районного суда г. Красноярска от 01.03.2018 по делу 2-691/2018</t>
  </si>
  <si>
    <t>судебный приказ судебного участка 67 в Октябрьском районе от 12.12.2012 по делу 2-1409/2012</t>
  </si>
  <si>
    <t>судебный приказ судебного участка 78 в Советском районе г. Красноярска от 01.11.2017 по делу 02-2000/2017(78)</t>
  </si>
  <si>
    <t>судебный приказ судебного участка 66 в Октябрьском районе г. Красноярска от 19.12.2017 по делу 2-2247/2017/66</t>
  </si>
  <si>
    <t>судебный приказ судебного участка 138 в Железнодорожном районе г. Красноярска от 02.06.2011 по делу 2-1113/138/2011, заочное решение судебного участка 138 в Железнодорожном районе г. Красноярска от 11.09.2014 по делу 2-1379/138/2014</t>
  </si>
  <si>
    <t>заочное решение судебного участка 312 Останкинского района г. Москвы от 24.12.2021 по делу 2-1472/2021</t>
  </si>
  <si>
    <t>судебный приказ судебного участка 88 в Советском районе г. Красноярска от 28.05.2018 по делу 2-1414/2018(88)</t>
  </si>
  <si>
    <t>судебный приказ судебного участка 3 г. Саяногорска по Республике Хакасия от 18.06.2018 по делу 2-3-1655/2018</t>
  </si>
  <si>
    <t>судебный приказ судебного участка 62 в Ленинском районе г. Красноярска от 12.02.2018 по делу 2-373/2018</t>
  </si>
  <si>
    <t>судебный приказ судебного участка 69 в Октябрьском районе г. Красноярска от 15.06.2016 по делу 2-663/69/2016</t>
  </si>
  <si>
    <t>судебный приказ судебного участка 78 в Советском районе г. Красноярска от 30.03.2018 по делу 2-166/18/78</t>
  </si>
  <si>
    <t>судебный приказ судебного участка 100 г. Москвы от 13.12.2017 по делу 02-0543/100/2017</t>
  </si>
  <si>
    <t>заочное решение Советского районного суда г. Красноярска от 22.08.2018 по делу 2-21278/2018</t>
  </si>
  <si>
    <t>судебный приказ судебного участка 46 в Железнодорожном районе г. Красноярска от 31.10.2017 по делу 02-3377/46/2017</t>
  </si>
  <si>
    <t>судебный приказ судебного участка 55 в кировском районе от 31.10.2017 по делу 2-1137/55-2017</t>
  </si>
  <si>
    <t>решение Абаканского городского суда Республики Хакасия от 27.08.2014 по делу 2-6163/2014</t>
  </si>
  <si>
    <t>судебный приказ судебного участка 138 в Железнодорожном районе г. Красноярска от 23.01.2009 по делу 2-223/2009</t>
  </si>
  <si>
    <t>Дата последнего платежа в ходе КП</t>
  </si>
  <si>
    <t>Поручительство</t>
  </si>
  <si>
    <t>Начальная стоимость реализации</t>
  </si>
  <si>
    <t>Сведения о судебной работе (Наименование суда, номер дела, дата решения, в случае отсутствия решения указать дату рассмотрения)</t>
  </si>
  <si>
    <t>Волкова Галина Дмитриевна</t>
  </si>
  <si>
    <t>Воробцов Иван Михайлович</t>
  </si>
  <si>
    <t>Поступления с даты вынесения судебного акта, руб</t>
  </si>
  <si>
    <t>Размер задолженности, установленный судом, в т.ч. госпошлина, руб
(O+M+N)</t>
  </si>
  <si>
    <t>Размер задолженности, установленный судом за вычетом поступлений с даты вынесения судебного акта, руб
(O-P)</t>
  </si>
  <si>
    <t>22422/18/24002-ИП</t>
  </si>
  <si>
    <t>предъявлен в осп, Осуществляются мероприятия по розыску должника и его имущества, по результатам мониторинга сайта СПИ выявлено, что ИП окончено актом, 24.07.2020 направлен запрос о ходе ИП и предоставлении документов</t>
  </si>
  <si>
    <t>21.07.2020 Проведена актуализация данных с сайтом ФССП в результате которой выявлена информация: ИП не находится (ИП окончено (невозможность взыскания),постановление об окончании и оригинал ИЛ не поступали);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России);04.08.2020 направлено заявление о предоставлении информации о направлении ИД после окончания ИП.</t>
  </si>
  <si>
    <t>судебный приказ от 02.03.2015 по делу 2-353/138/2015</t>
  </si>
  <si>
    <t>судебный приказ от 12.01.2018 по делу 2-61/2018</t>
  </si>
  <si>
    <t>Баринова Татьяна Сергеевна, КД РО-0025/2016 от 03.08.2016, судебный приказ судебного участка 431 г. Москвы от 12.01.2018 по делу 2-61/2018, г. Красноярск</t>
  </si>
  <si>
    <t>судебный приказ судебного участка 431 г. Москвы от 12.01.2018 по делу 2-61/2018</t>
  </si>
  <si>
    <t>судебный приказ от 05.08.2009 по делу 2-2071/2009</t>
  </si>
  <si>
    <t>Бояринцева Елена Владимировна, КД 8042-601-091 от 15.02.2008, судебный приказ судебного участка 138 в Железнодорожном районе г. Красноярска от 05.08.2009 по делу 2-2071/2009, определение судебного участка 138 от 07.09.2009 по делу 2-2071/2009, г. Красноярск</t>
  </si>
  <si>
    <t>судебный приказ судебного участка 138 в Железнодорожном районе г. Красноярска от 05.08.2009 по делу 2-2071/2009, определение судебного участка 138 в Железнодорожном районе г. Красноярска от 07.09.2009 по делу 2-2071/2009</t>
  </si>
  <si>
    <t>Быков Владимир Петрович, КД 8042-601-016 от 02.08.2007, судебный приказ судебного участка 139 в Центральном районе г. Красноярска от 04.04.2018 по делу 2-504/18/139, г. Красноярск</t>
  </si>
  <si>
    <t>судебный приказ судебного участка 139 в Центральном районе г. Красноярска от 04.04.2018 по делу 2-504/18/139</t>
  </si>
  <si>
    <t>судебный приказ от 04.04.2018 по делу 2-504/18/139</t>
  </si>
  <si>
    <t>ставка рефинансирования</t>
  </si>
  <si>
    <t>Взыграева Анна Николаевна, КД 8042-601-425 от 17.09.2013, судебный приказ судебного участка 153 в г. Минусинске и Минусинском районе от 02.02.2018 по делу 2-239/2018, г. Красноярск</t>
  </si>
  <si>
    <t>судебный приказ судебного участка 153 в г. Минусинске и Минусинском районе от 02.02.2018 по делу 2-239/2018</t>
  </si>
  <si>
    <t>судебный приказ от 02.02.2018 по делу 2-239/2018</t>
  </si>
  <si>
    <t>49058/21/24090-ИП</t>
  </si>
  <si>
    <t>судебный приказ от 16.02.2018 по делу 02-0342/129/2018</t>
  </si>
  <si>
    <t>24.07.2020 направлен запрос о ходе ИП и предоставлении документов, 23.08.2021 направлен запрос о ходе ИП. 14.02.2022 проведена актализация с сайтом ФССП инфо нет.</t>
  </si>
  <si>
    <t>судебный приказ от 23.01.2018 по делу 02-0187/62/2018</t>
  </si>
  <si>
    <t>70142/21/24010-ИП</t>
  </si>
  <si>
    <t>судебный приказ от 20.10.2017 по делу 2-1908/22/2017</t>
  </si>
  <si>
    <t>15.04.2020  МОСП ИОИП в отношении имущества должника выставлен запрет регдействий, счета арестованы, должник не трудоустроен
15.07.2020 направлен запрос о ходе ИП, предоставлении копий документов</t>
  </si>
  <si>
    <t>судебный приказ от 16.01.2018 по делу 2-91/52-2018</t>
  </si>
  <si>
    <t>13846/21/24087-ИП
13847/21/24087-ИП</t>
  </si>
  <si>
    <t>24/02/2015
04/04/2016</t>
  </si>
  <si>
    <t>ВС № 048457492 от 26.01.2015
ВС № 061506251 от 28.12.2015</t>
  </si>
  <si>
    <t>ПФ нет сведений;  Геотек- ликвидируется. должник нигде не работает в ЦЗ не состоит; счета в банках-пост/я о списании вынесены ДС отсутствуют Росреестр-нет сведений.  ГИБДД нет сведений. Совершен выход по адресу-составлен акт об отсутствии им/ва. Запрошен УФМС-паспорт прежний- вынесено постановление о запрете выезда за пределы РФ. Х/во о вызове должника  11.04.2018 Запрос в ГИБДД. 11.04.2018  Запрос в ПФР. 11.04.2018 Запрос оператору сотовой связи. 11.04.2018  Запрос в УФМС. 11.04.2018  Запрос в банки. 19.04.2018  Постановление о запрете на регистрационные действия ТС. 26.04.2018 Запрос в ПФ на установление места работы   07.06.2018 запрос о предоставлении информации по ИП 02.07.2018 запрос на предорствление информации и копий документов по ИП   
06.06.2019 исполнителем в УФССП предъявлено заявление о принятии СПИ мер по своевременному, полному и правильному исполнению исполнительного документа в отношении должника, в том числе совершение выхода по месту жительства должника в целях описи, ареста и изъятия имущества должника.05.08.2019 совместно с судебным приставом-исполнителем проведена работа по ознакомлению с материалами исполнительного производства. В результате судебный пристав-исполнитель обновил запросы.09.08.2019 по сайту Арбитражного суда проведена проверка-актуализация на предмет банкротства должника. 26.08.2019 проведена актуализация данных сайта ФССП России.11.11.2019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России);23.07.2020 проведена актуализация данных с сайтом ФССП в результате которой выявлена информация: ИП передано в другое ОСП, постановление о передаче не поступало; 30.07.2020 почтой России направлено заявление о ходе ИП и предоставлении документов.</t>
  </si>
  <si>
    <t>17.01.2020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России);20.07.2020 проведена актуализация данных с сайтом ФССП в результате которой выявлена информация: ИП ведется; 30.07.2020 Почтой России направлено заявление о ходе ИП и предоставлении документов; 03.08.2021 направлено заявленние о принятии мер принудительного характера. 05.10.2021 СПИ вынесено постановление Постановление об обращении взыскания на заработную плату и иные доходы
должника (об обращении взыскания на пенсию)</t>
  </si>
  <si>
    <t>судебный приказ от 20.12.2017 по делу 2-3125/2017</t>
  </si>
  <si>
    <t>судебный приказ от 27.03.2013 № 2-307/2013/89</t>
  </si>
  <si>
    <t>судебный приказ от 28.11.2012 по делу 2-1352/2012</t>
  </si>
  <si>
    <t>текущее состояние ИП</t>
  </si>
  <si>
    <t>окончено</t>
  </si>
  <si>
    <t>не возбуждено</t>
  </si>
  <si>
    <t>Латыпов Дамир Ринатович, КД 8042-701-290 от 18.09.2013, судебный приказ судебного участка 62 в ленинском районе г. Красноярска от 17.04.2018 по делу 2-942/2018, г. Красноярск</t>
  </si>
  <si>
    <t>судебный приказ судебного участка 62 в ленинском районе г. Красноярска от 17.04.2018 по делу 2-942/2018</t>
  </si>
  <si>
    <t>ИЛ от 26.07.2016 № ВС № 061612184
судебный приказ от 17.04.2018 по делу 2-942/2018</t>
  </si>
  <si>
    <t>судебный приказ от 08.11.2017 по делу 2-2674/85/2017</t>
  </si>
  <si>
    <t>35975/21/24013-ИП</t>
  </si>
  <si>
    <t>возбуждено</t>
  </si>
  <si>
    <t>Ломакин Валерий Николаевич, КД 8042-601-354 от 03.08.2012, заочное решение Железнодорожного районного суда г. Красноярска от 29.07.2016 по делу 2-3974/2016, Красноярск</t>
  </si>
  <si>
    <t>заочное решение Железнодорожного районного суда г. Красноярска от 29.07.2016 по делу 2-3974/2016</t>
  </si>
  <si>
    <t>17.01.2020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 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России);21.07.2020 проведена актуализация данных с сайтом ФССП в результате которой выявлена информация: ИП ведется; 30.07.2020 Почтой России направлено заявление о ходе ИП и предоставлении документов;</t>
  </si>
  <si>
    <t>9220/20/24002-ИП
23740/17/24002-ИП</t>
  </si>
  <si>
    <t>ФС № 015961433 от 23.09.2016
ФС № 007884498 от 03.06.2016</t>
  </si>
  <si>
    <t>99949/16/24029-ИП</t>
  </si>
  <si>
    <t>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России);22.07.2020 проведена актуализация данных с сайтом ФССП в результате которой выявлена информация: ИП ведется;30.07.2020 Почтой России направлено заявление о ходе ИП и предоставлении документов;</t>
  </si>
  <si>
    <t>ФС № 015711793 от 23.07.2016</t>
  </si>
  <si>
    <t>заочное решение Железнодорожного районного суда г. Красноярска от 21.11.2014 по делу № 2-4917/2014</t>
  </si>
  <si>
    <t>Мыцык Николай Юрьевич, КД 8042-701-1830 от 09.04.2007, заочное решение Железнодорожного районного суда г. Красноярска от 21.11.2014 по делу 2-4917/2014, г. Красноярск</t>
  </si>
  <si>
    <t>23.07.18г. проведен правовой анализ кредитного досье и актуализации данных сайта ФССП России. -30.07.18г. по сайту Арбитражного суда проведена проверка на предмет банкротства должника.  -04.07.18г. совместно с судебным приставом-исполнителем проведена работа по ознакомлению с материалами исполнительного производства. В результате судебный пристав-исполнитель вынес постановление о распределении ДС. обновил запросы.  -23.07.18г. направлено решение АС о признании АКБ «Енисей» банкротом.  -04.10.2018 - были проведены телефонные переговоры с судебным приставом-исполнителем. В ходе телефонных переговоров судебный пристав – исполнитель сообщил о том. что в целях установления имущественного положения должника были направлены запросы в регистрирующие органы и кредитные организации. Согласно полученным ответам. своевременно были вынесены постановления об обращении взыскания на ДС должника. находящиеся в банке или иной кредитной организации. а также постановление об обращении взыскания на заработную плату. -04.04.2019г. проведена актуализация данных сайта ФССП России.06.06.2019 исполнителем в УФССП предъявлено заявление о принятии СПИ мер по своевременному, полному и правильному исполнению исполнительного документа в отношении должника, в том числе совершение выхода по месту жительства должника в целях описи, ареста и изъятия имущества должника.28.08.2019 по сайту Арбитражного суда проведена проверка-актуализация на предмет банкротства должника. 30.08.2019 проведена актуализация данных сайта ФССП России11.11.2019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 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России);22.07.2020 проведена актуализация данных с сайтом ФССП в результате которой выявлена информация: ИП окончено (невозможность взыскания),постановление об окончании и оригинал ИЛ не поступали;04.08.2020 направлено заявление о предоставлении информации о направлении ИД после окончания ИП;</t>
  </si>
  <si>
    <t>22.05.2017 был проведен правовой анализ полученного кредитного досье. проведена актуализация данных с сайтом ФССП. проведена проверка на предмет банкротства на сайте Арбитражного суда.   21.06.2017 было направлено уведомление с реквизитами для перечисления денежных средств на электронный адрес отдела.  28.11.2017 в ОСП было повторно нарочно доставлено уведомление о смене банковских реквизитов. 28.08.2018 в УФССП направлен запрос о принятых мерах в рамках исполнительного производства;  09.08.2018   направлен запрос в ПФР на получение сведения о заработной плате и иных доходах должника;  21.08.2018 посещение приема СПИ – ознакомление с материалами исполнительного производства; 22.08.2018 проведена актуализация с сайтом ФССП. 04.09.2018 с целью предоставления официального ответа на запрос. исполнителем было подготовлено и направлено заявление о предоставлении сводной информации о ходе исполнительного производства. включая сведения. о финансовом состоянии должника. наличии у него имущества. всех постановлений в рамках ИП. 22.03.2019 по сайту Арбитражного суда проведена проверка на предмет банкротства должника. 04.04.2019г. проведена актуализация данных сайта ФССП России.06.06.2019 исполнителем в УФССП предъявлено заявление о принятии СПИ мер по своевременному, полному и правильному исполнению исполнительного документа в отношении должника, в том числе совершение выхода по месту жительства должника в целях описи, ареста и изъятия имущества должника.28.08.2019 по сайту Арбитражного суда проведена проверка-актуализация на предмет банкротства должника. 30.08.2019 проведена актуализация данных сайта ФССП России. 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России);22.07.2020 проведена актуализация данных с сайтом ФССП в результате которой выявлена информация: ИП ведется; 30.07.2020 Почтой России направлено заявление о ходе ИП и предоставлении документов;</t>
  </si>
  <si>
    <t>56734/13/08/24</t>
  </si>
  <si>
    <t>судебный приказ судебного участка 28 в ЗАТО г. Железногорска от 20.07.2018 по делу 2-726-28/2018</t>
  </si>
  <si>
    <t>судебный приказ от 20.07.2018 по делу 2-726-28/2018</t>
  </si>
  <si>
    <t>судебный приказ от 01.11.2017 по делу 02-2000/2017(78)</t>
  </si>
  <si>
    <t>осуществляются мероприятия по розыску должника и его имущества, согласно ответа от 14.04.2020  МОСП ИОИП в отношении имущества должника выставлен запрет регдействий, счета арестованы, должник трудоустроен, 24.07.2020 направлен запрос о ходе ИП и предоставлении документов</t>
  </si>
  <si>
    <t>337811/21/24012-ИП</t>
  </si>
  <si>
    <t>23444/21/24009-ИП</t>
  </si>
  <si>
    <t>судебный приказ от 19.12.2017 по делу 2-2247/2017/66</t>
  </si>
  <si>
    <t>20088/12/28/24
15926/16/24028-ИП</t>
  </si>
  <si>
    <t>судебный приказ от 02.06.2011 по делу 2-1113/138/2011
ИЛ от 05.08.2016 № ВС№061471014</t>
  </si>
  <si>
    <t>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 23.07.2020 проведена актуализация данных с сайтом ФССП в результате которой выявлена информация: ИП передано в другое ОСП, постановление о передаче не поступало; 07.08.2020 почтой России направлено заявление о ходе ИП и предоставлении документов.</t>
  </si>
  <si>
    <t xml:space="preserve"> решение Железногорского районного суда Красноярского края от 30.08.2013 по делу 2-1332/2013</t>
  </si>
  <si>
    <t>14371/22/24089-ИП</t>
  </si>
  <si>
    <t>судебный приказ судебного участка 68 в Октябрьском районе г. Красноярска от 10.12.2012 по делу 2-1373/2012 /68</t>
  </si>
  <si>
    <t>судебный приказ от 10.12.2012 по делу 2-1373/2012 /68</t>
  </si>
  <si>
    <t>судебный приказ судебного участка 68 в Октябрьском районе г. Красноярска от 06.06.2015 по делу 2-941/2018/68, определение судебного участка 68 в Октябрьском районе г. Красноярска от 13.06.2019 по делу 2-941/68/2018</t>
  </si>
  <si>
    <t>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России);27.07.2020 проведена актуализация данных с сайтом ФССП в результате которой выявлена информация: ИП окончено (невозможность взыскания),постановление об окончании и оригинал ИЛ не поступали;04.08.2020 направлено заявление о предоставлении информации о направлении ИД после окончания ИП;</t>
  </si>
  <si>
    <t>судебный приказ от 06.06.2015 по делу 2-941/2018/68</t>
  </si>
  <si>
    <t>судебный приказ от 28.05.2018 по делу 2-1414/2018(88)</t>
  </si>
  <si>
    <t>337819/21/24012-ИП</t>
  </si>
  <si>
    <t>судебный приказ от 18.06.2018 по делу 2-3-1655/2018</t>
  </si>
  <si>
    <t>судебный приказ от 12.02.2018 по делу 2-373/2018</t>
  </si>
  <si>
    <t>судебный приказ от 15.06.2016 по делу 2-663/69/2016</t>
  </si>
  <si>
    <t>24.07.2020 Проведена актуализация данных с сайтом ФССП в результате которой выявлена информация: ИП не находится 23.08.2021 направлен запрос в ОСП. 25.10.2021 повторно напрален запрос в ОСП.30.03.2022 направлен запрос о предоставлении информации о возбуждении исполнительного производства в отношении должника, в том числе о предоставлении копии постановления о возбуждении исполнительного производства и сведений о принятых мерах в рамках исполнительного производства (путем направления сводки, реестра).</t>
  </si>
  <si>
    <t>34573/17/24002-ИП</t>
  </si>
  <si>
    <t>судебный приказ от 30.03.2018 по делу 2-166/18/78</t>
  </si>
  <si>
    <t>31.10.2017 направлена претензия, написан судебный приказ, подано заявление в суд, вынесен судебный приказ - 13.12.2017, нами еще не получен, 25.06.2018 года направлено заявление о вынесении судебного приказа,  в суд направлено заявление о предоставлении судебного приказа с отметкой о вступлении в законную силу</t>
  </si>
  <si>
    <t>судебный приказ от 13.12.2017 по делу 02-0543/100/2017</t>
  </si>
  <si>
    <t>судебный приказ от 31.10.2017 по делу 02-3377/46/2017</t>
  </si>
  <si>
    <t>судебный приказ от 31.10.2017 по делу 2-1137/55-2017</t>
  </si>
  <si>
    <t>копия</t>
  </si>
  <si>
    <t>17.07.2020 Почтой России был отправлен запрос о предоставлении сводной информации по ИП в ГУФССП России (31.07.2020 подано через "ящик для обращений"); 31.07.2020 подан запрос о предоставлении сводной информации по ИП в ГУФССП России по регионам, а именно: Краснодарский край, Респ. Бурятия, Нижегор. область, Красноярский край, Москва, Мос. обл., Санкт-Петербург, Лен. область, Новосиб. область, Респ. Саха, Респ. Хакасия, Самар.область, Свердл. область, Тюмен. область, Ярослав. область (07.08.2020 донаправлены Почтой России);28.07.2020 Проведена актуализация данных с сайтом ФССП в результате которой выявлена информация: ИП не находится; 07.08.2020 Почтой России направлено заявление о ходе ИП и предоставлении документов; 19.03.2021 Почтой России направлено заявление о ходе ИП и предоставлении документов; 28.12.2019 г. направлено заявление об ознакомлении с материалами исполнительного производства. Направлено заявление о временном ограничении должника на выезд из РФ</t>
  </si>
  <si>
    <t>исполнительный лист от 21/08/2014 № 2-6163/2014</t>
  </si>
  <si>
    <t>Холмогорова Наталья Сергеевна, КД 9090-701-462 от 08.07.2013, г. Красноярск</t>
  </si>
  <si>
    <t>судебный приказ судебного участка 79 в Советском районе г. Красноярска от 14.12.2017 по делу 02-2204/79/2017 отменен 19.11.2021
подаано заявление в судебный участок 79 в Советском районе г. Красноярска на вынесение судебного приказа, судебное заседание 22.03.2022 - передано по подсудности, определение не поступало.</t>
  </si>
  <si>
    <t>судебный приказ от 23.01.2009 по делу 2-223/2009</t>
  </si>
  <si>
    <t>76/02/13/07/24</t>
  </si>
  <si>
    <t xml:space="preserve">Поручительство физических лиц </t>
  </si>
  <si>
    <t>Обеспечение</t>
  </si>
  <si>
    <t>Кол-во</t>
  </si>
  <si>
    <t>Права требования ФЛ</t>
  </si>
  <si>
    <t>на повторных торгах в форме аукциона</t>
  </si>
  <si>
    <r>
      <t>Размер задолженности, установленный судом</t>
    </r>
    <r>
      <rPr>
        <b/>
        <vertAlign val="superscript"/>
        <sz val="12"/>
        <rFont val="Times New Roman"/>
        <family val="1"/>
        <charset val="204"/>
      </rPr>
      <t>2</t>
    </r>
    <r>
      <rPr>
        <b/>
        <sz val="12"/>
        <rFont val="Times New Roman"/>
        <family val="1"/>
        <charset val="204"/>
      </rPr>
      <t>, руб</t>
    </r>
  </si>
  <si>
    <r>
      <t>на первых торгах в форме аукциона</t>
    </r>
    <r>
      <rPr>
        <b/>
        <vertAlign val="superscript"/>
        <sz val="12"/>
        <color theme="1"/>
        <rFont val="Times New Roman"/>
        <family val="1"/>
        <charset val="204"/>
      </rPr>
      <t>3</t>
    </r>
  </si>
  <si>
    <t>к Порядку реализации активов ликвидируемых кредитных организаций</t>
  </si>
  <si>
    <t>нет ничего</t>
  </si>
  <si>
    <t>отсутствует кредитная документация</t>
  </si>
  <si>
    <t>отсутствует судебный акт</t>
  </si>
  <si>
    <t xml:space="preserve"> 10/07/2018</t>
  </si>
  <si>
    <t>12/09/2016
13/07/2018</t>
  </si>
  <si>
    <t>06/11/2019
07/07/2016</t>
  </si>
  <si>
    <t>28/11/2012
05/12/2016</t>
  </si>
  <si>
    <t>06/05/2019
30/04/2019</t>
  </si>
  <si>
    <t>судебная задолженность, руб.</t>
  </si>
  <si>
    <t>начальная стоимость лота, руб.</t>
  </si>
  <si>
    <t>судебный приказ судебного участка 62 Ленинского района г. Красноярска от 23.01.2018 по делу 02-0187/62/2018
заемщик умер, имеется наследственное дела, будет направлен запрос нотариусу, по результатам предъявлен судебный акты к наследникам</t>
  </si>
  <si>
    <t>Примечание</t>
  </si>
  <si>
    <t>Лот 1 – Права требования к 1 247 физическим лицам, имеются решения суда на сумму 157 407 302,97 руб., в составе лота имеются права требования по кредитным договорам с истекшими сроками для принудительного истребования задолженности, г. Красноярск, Вербицкий А.И., Мухачева Е.В., Беляшев А.С., Голубкова А.А., Поздеев К.Е., Рыбаков А.Ю., Солдатенко С.А., Аверин К.Н. находятся в стадии банкротства, к Аверину К.Н. не включены в РТК (287 580 400,04 руб.) – 287 580 400,04 руб.</t>
  </si>
  <si>
    <t xml:space="preserve">Ранее был включен в торги ID3646, 3899, сообщение № 7284626 на сайте ЕФРСБ от 07.09.2021 г., завершены 04.04.2022
</t>
  </si>
  <si>
    <t>Наименование прежнего лота</t>
  </si>
  <si>
    <t>на десятом периоде торгов ППП</t>
  </si>
  <si>
    <t>на одиннадцатом периоде торгов ППП</t>
  </si>
  <si>
    <t>на двенадцатом периоде торгов ППП</t>
  </si>
  <si>
    <t>на тринадцатом периоде торгов ППП</t>
  </si>
  <si>
    <t>на четырнадцатом периоде торгов ППП</t>
  </si>
  <si>
    <t>на пятнадцатом периоде торгов ППП</t>
  </si>
  <si>
    <t>Продление ППП</t>
  </si>
  <si>
    <t>на шестнадцатом периоде торгов ППП</t>
  </si>
  <si>
    <t>на семнадцатом периоде торгов ППП</t>
  </si>
  <si>
    <t>остаток в %</t>
  </si>
  <si>
    <r>
      <t xml:space="preserve">Порядок утвержден </t>
    </r>
    <r>
      <rPr>
        <sz val="12"/>
        <color theme="1"/>
        <rFont val="Times New Roman"/>
        <family val="1"/>
        <charset val="204"/>
      </rPr>
      <t>КОВ 06.05.2022, утвержден КК 24.05.2022</t>
    </r>
  </si>
  <si>
    <r>
      <t>Балансовая стоимость лота</t>
    </r>
    <r>
      <rPr>
        <b/>
        <vertAlign val="superscript"/>
        <sz val="12"/>
        <rFont val="Times New Roman"/>
        <family val="1"/>
        <charset val="204"/>
      </rPr>
      <t>1</t>
    </r>
    <r>
      <rPr>
        <b/>
        <sz val="12"/>
        <rFont val="Times New Roman"/>
        <family val="1"/>
        <charset val="204"/>
      </rPr>
      <t xml:space="preserve"> по состоянию на 01.09.2022, руб</t>
    </r>
  </si>
  <si>
    <t xml:space="preserve">Права требования к 46 физическим лицам </t>
  </si>
  <si>
    <t>балансовая стоимость на 01.09.2022, руб.</t>
  </si>
  <si>
    <t>Основной долг по ведомости остатков по состоянию на 01.09.2022, руб</t>
  </si>
  <si>
    <t>Проценты по ведомости остатков по состоянию на 01.09.2022, руб</t>
  </si>
  <si>
    <t>Пени/штрафы/неустойки по ведомости остатков по состоянию на 01.09.2022, руб</t>
  </si>
  <si>
    <t>ГосПошлина по ведомости остатков по состоянию на 01.09.2022, руб</t>
  </si>
  <si>
    <t>Балансовая стоимость лота по ВО на 01.09.2022, руб. (H+I+J+K)</t>
  </si>
  <si>
    <t>Проценты начисленные по судебному акту на 01.09.2022, руб</t>
  </si>
  <si>
    <t>пеням/штрафам/неустойкам начисленные по судебному акту на 01.09.2022, руб</t>
  </si>
  <si>
    <t>Поступления в ходе КП с 13.04.2017 по 31.08.2022</t>
  </si>
  <si>
    <t>Права требования к 47 физическим лицам (рыночные, необслуживаемые)</t>
  </si>
  <si>
    <t>балансовая стоимость на 01.05.2022, руб.</t>
  </si>
  <si>
    <t>Матосян Армен Каренович, КД 8042-701-388 от 26.09.2014, заочное решение Железнодорожного районного суда от 21.06.2018 по делу 2-2709/2018, г. Красноярск</t>
  </si>
  <si>
    <t>Баринова Т.С., Бояринцева Е.В., Взыграева А.Н., Винтер Н.Ю., Гавриченко И.Н., Калугин Е.Е., Коротыгина Л.Ф., Кудина Т.Ф., Микульский А.С., Мыцык Н.Ю., Налобин С.Б., Овсепян Л.А., Осипов А.В., Покусаев А.П., Притчин С.В., Рябинкина В.Ю., Селезнев И.В., Семашко Ю.А., Семенов Н.В., Сокол Н.А., Степанов А.И., Терех В.К., Фрайс Н.Б., Шелехова Н.А., Шмыков В.Е. - отсутствует кредитная документация, Сокол Н. А., Осипов А. В. - истекли сроки для повторного предъявления ИЛ к исполнению</t>
  </si>
  <si>
    <t>Расшифровка сборного лота</t>
  </si>
  <si>
    <t>Права требования к 45 физическим лицам (рыночные, необслуживаемые)</t>
  </si>
  <si>
    <t>Место нахождения имущества</t>
  </si>
  <si>
    <t xml:space="preserve"> Лот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</si>
</sst>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р_._-;\-* #,##0.00_р_._-;_-* &quot;-&quot;??_р_._-;_-@_-"/>
    <numFmt numFmtId="165" formatCode="#,##0.00_ ;\-#,##0.00\ "/>
    <numFmt numFmtId="166" formatCode="#,##0.00_р_."/>
  </numFmts>
  <fonts count="24"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6"/>
      <name val="Times New Roman"/>
      <family val="1"/>
      <charset val="204"/>
    </font>
    <font>
      <b/>
      <sz val="12"/>
      <name val="Times New Roman"/>
      <family val="1"/>
      <charset val="204"/>
    </font>
    <font>
      <sz val="11"/>
      <color theme="1"/>
      <name val="Calibri"/>
      <family val="2"/>
      <scheme val="minor"/>
    </font>
    <font>
      <sz val="12"/>
      <name val="Times New Roman"/>
      <family val="1"/>
      <charset val="204"/>
    </font>
    <font>
      <sz val="13"/>
      <color theme="1"/>
      <name val="Times New Roman"/>
      <family val="1"/>
      <charset val="204"/>
    </font>
    <font>
      <b/>
      <sz val="13"/>
      <name val="Times New Roman"/>
      <family val="1"/>
      <charset val="204"/>
    </font>
    <font>
      <sz val="13"/>
      <name val="Times New Roman"/>
      <family val="1"/>
      <charset val="204"/>
    </font>
    <font>
      <sz val="10"/>
      <name val="Times New Roman"/>
      <family val="1"/>
      <charset val="204"/>
    </font>
    <font>
      <sz val="11"/>
      <name val="Calibri"/>
      <family val="2"/>
      <scheme val="minor"/>
    </font>
    <font>
      <b/>
      <sz val="10"/>
      <name val="Times New Roman"/>
      <family val="1"/>
      <charset val="204"/>
    </font>
    <font>
      <sz val="10"/>
      <name val="Arial Cyr"/>
      <charset val="204"/>
    </font>
    <font>
      <b/>
      <sz val="8"/>
      <name val="Times New Roman"/>
      <family val="1"/>
      <charset val="204"/>
    </font>
    <font>
      <sz val="10"/>
      <name val="Calibri"/>
      <family val="2"/>
      <scheme val="minor"/>
    </font>
    <font>
      <sz val="8"/>
      <name val="Times New Roman"/>
      <family val="1"/>
      <charset val="204"/>
    </font>
    <font>
      <sz val="11"/>
      <name val="Calibri"/>
      <family val="2"/>
      <charset val="204"/>
      <scheme val="minor"/>
    </font>
    <font>
      <b/>
      <vertAlign val="superscript"/>
      <sz val="12"/>
      <name val="Times New Roman"/>
      <family val="1"/>
      <charset val="204"/>
    </font>
    <font>
      <b/>
      <vertAlign val="superscript"/>
      <sz val="12"/>
      <color theme="1"/>
      <name val="Times New Roman"/>
      <family val="1"/>
      <charset val="204"/>
    </font>
    <font>
      <sz val="9"/>
      <color indexed="81"/>
      <name val="Tahoma"/>
      <family val="2"/>
      <charset val="204"/>
    </font>
    <font>
      <b/>
      <sz val="9"/>
      <color indexed="81"/>
      <name val="Tahoma"/>
      <family val="2"/>
      <charset val="204"/>
    </font>
  </fonts>
  <fills count="8">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8">
    <xf numFmtId="0" fontId="0" fillId="0" borderId="0"/>
    <xf numFmtId="0" fontId="1" fillId="0" borderId="0"/>
    <xf numFmtId="164" fontId="1" fillId="0" borderId="0" applyFont="0" applyFill="0" applyBorder="0" applyAlignment="0" applyProtection="0"/>
    <xf numFmtId="0" fontId="7" fillId="0" borderId="0"/>
    <xf numFmtId="0" fontId="1" fillId="0" borderId="0"/>
    <xf numFmtId="0" fontId="15"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3" fillId="0" borderId="0" xfId="1" applyFont="1"/>
    <xf numFmtId="0" fontId="4" fillId="0" borderId="0" xfId="1" applyFont="1"/>
    <xf numFmtId="0" fontId="4" fillId="0" borderId="0" xfId="1" applyFont="1" applyAlignment="1">
      <alignment horizontal="right" vertical="center"/>
    </xf>
    <xf numFmtId="0" fontId="5" fillId="0" borderId="0" xfId="1" applyFont="1"/>
    <xf numFmtId="0" fontId="3" fillId="0" borderId="0" xfId="1" applyFont="1" applyAlignment="1">
      <alignment horizontal="right" vertical="center" wrapText="1"/>
    </xf>
    <xf numFmtId="0" fontId="3" fillId="0" borderId="0" xfId="1" applyFont="1" applyAlignment="1">
      <alignment vertical="top" wrapText="1"/>
    </xf>
    <xf numFmtId="0" fontId="3" fillId="2" borderId="4" xfId="1" applyFont="1" applyFill="1" applyBorder="1" applyAlignment="1">
      <alignment horizontal="center" vertical="center" wrapText="1"/>
    </xf>
    <xf numFmtId="0" fontId="4" fillId="0" borderId="0" xfId="1" applyFont="1" applyAlignment="1">
      <alignment vertical="center"/>
    </xf>
    <xf numFmtId="0" fontId="1" fillId="0" borderId="0" xfId="1"/>
    <xf numFmtId="0" fontId="3" fillId="2" borderId="4" xfId="1" applyFont="1" applyFill="1" applyBorder="1" applyAlignment="1">
      <alignment horizontal="center" vertical="center"/>
    </xf>
    <xf numFmtId="0" fontId="4" fillId="0" borderId="0" xfId="1" applyFont="1" applyAlignment="1">
      <alignment horizontal="center"/>
    </xf>
    <xf numFmtId="0" fontId="2" fillId="0" borderId="0" xfId="1" applyFont="1" applyAlignment="1">
      <alignment horizontal="center"/>
    </xf>
    <xf numFmtId="0" fontId="4" fillId="3" borderId="4" xfId="1" applyFont="1" applyFill="1" applyBorder="1" applyAlignment="1">
      <alignment horizontal="center" vertical="center" wrapText="1"/>
    </xf>
    <xf numFmtId="0" fontId="4" fillId="0" borderId="2" xfId="1" applyFont="1" applyBorder="1" applyAlignment="1">
      <alignment horizontal="left"/>
    </xf>
    <xf numFmtId="0" fontId="4" fillId="0" borderId="4" xfId="1" applyFont="1" applyBorder="1"/>
    <xf numFmtId="0" fontId="3" fillId="0" borderId="4" xfId="1" applyFont="1" applyBorder="1" applyAlignment="1">
      <alignment horizontal="center" vertical="center"/>
    </xf>
    <xf numFmtId="0" fontId="3" fillId="0" borderId="6" xfId="1" applyFont="1" applyBorder="1" applyAlignment="1">
      <alignment horizontal="center" vertical="center" wrapText="1"/>
    </xf>
    <xf numFmtId="0" fontId="3" fillId="0" borderId="4" xfId="1" applyFont="1" applyBorder="1" applyAlignment="1">
      <alignment horizontal="center" vertical="center" wrapText="1"/>
    </xf>
    <xf numFmtId="165" fontId="3" fillId="0" borderId="4" xfId="2" applyNumberFormat="1" applyFont="1" applyFill="1" applyBorder="1" applyAlignment="1">
      <alignment horizontal="right" vertical="center"/>
    </xf>
    <xf numFmtId="165" fontId="3" fillId="0" borderId="4" xfId="2" applyNumberFormat="1" applyFont="1" applyFill="1" applyBorder="1" applyAlignment="1">
      <alignment horizontal="center" vertical="center" wrapText="1"/>
    </xf>
    <xf numFmtId="164" fontId="3" fillId="5" borderId="4" xfId="2" applyFont="1" applyFill="1" applyBorder="1"/>
    <xf numFmtId="0" fontId="3" fillId="5" borderId="4" xfId="1" applyFont="1" applyFill="1" applyBorder="1"/>
    <xf numFmtId="165" fontId="4" fillId="5" borderId="4" xfId="2" applyNumberFormat="1" applyFont="1" applyFill="1" applyBorder="1" applyAlignment="1">
      <alignment horizontal="right" vertical="center"/>
    </xf>
    <xf numFmtId="0" fontId="3" fillId="0" borderId="0" xfId="1" applyFont="1" applyAlignment="1">
      <alignment vertical="center"/>
    </xf>
    <xf numFmtId="165" fontId="4" fillId="0" borderId="0" xfId="2" applyNumberFormat="1" applyFont="1" applyFill="1" applyBorder="1" applyAlignment="1">
      <alignment horizontal="right" vertical="center"/>
    </xf>
    <xf numFmtId="0" fontId="3" fillId="0" borderId="0" xfId="4" applyFont="1"/>
    <xf numFmtId="0" fontId="8" fillId="0" borderId="0" xfId="4" applyFont="1"/>
    <xf numFmtId="0" fontId="9" fillId="0" borderId="0" xfId="0" applyFont="1"/>
    <xf numFmtId="0" fontId="3" fillId="0" borderId="0" xfId="4" applyFont="1" applyAlignment="1">
      <alignment horizontal="center" vertical="center"/>
    </xf>
    <xf numFmtId="0" fontId="11" fillId="0" borderId="0" xfId="0" applyFont="1"/>
    <xf numFmtId="0" fontId="10" fillId="0" borderId="0" xfId="0" applyFont="1" applyAlignment="1">
      <alignment horizontal="center"/>
    </xf>
    <xf numFmtId="0" fontId="10" fillId="0" borderId="4" xfId="0" applyFont="1" applyBorder="1" applyAlignment="1">
      <alignment horizontal="center" vertical="center"/>
    </xf>
    <xf numFmtId="0" fontId="10" fillId="0" borderId="4" xfId="0" applyFont="1" applyBorder="1"/>
    <xf numFmtId="0" fontId="12" fillId="0" borderId="4"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horizontal="center" vertical="center" wrapText="1"/>
    </xf>
    <xf numFmtId="0" fontId="12" fillId="0" borderId="0" xfId="0" applyFont="1" applyAlignment="1">
      <alignment horizontal="center" vertical="center"/>
    </xf>
    <xf numFmtId="166" fontId="12" fillId="0" borderId="0" xfId="0" applyNumberFormat="1" applyFont="1" applyAlignment="1">
      <alignment horizontal="center" vertical="center"/>
    </xf>
    <xf numFmtId="0" fontId="12" fillId="0" borderId="8" xfId="0" applyFont="1" applyBorder="1" applyAlignment="1">
      <alignment horizontal="center" vertical="center"/>
    </xf>
    <xf numFmtId="0" fontId="12" fillId="0" borderId="5" xfId="0" applyFont="1" applyBorder="1" applyAlignment="1">
      <alignment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vertical="center" wrapText="1" shrinkToFit="1"/>
    </xf>
    <xf numFmtId="4" fontId="14" fillId="2" borderId="4" xfId="0" applyNumberFormat="1" applyFont="1" applyFill="1" applyBorder="1" applyAlignment="1">
      <alignment horizontal="center" vertical="center" wrapText="1" shrinkToFit="1"/>
    </xf>
    <xf numFmtId="4" fontId="14" fillId="0" borderId="4" xfId="0" applyNumberFormat="1" applyFont="1" applyBorder="1" applyAlignment="1">
      <alignment horizontal="center" vertical="center" wrapText="1" shrinkToFit="1"/>
    </xf>
    <xf numFmtId="0" fontId="14" fillId="2" borderId="4" xfId="0" applyFont="1" applyFill="1" applyBorder="1" applyAlignment="1">
      <alignment horizontal="center" vertical="center" wrapText="1" shrinkToFit="1"/>
    </xf>
    <xf numFmtId="4" fontId="16" fillId="0" borderId="8" xfId="5" applyNumberFormat="1" applyFont="1" applyBorder="1" applyAlignment="1">
      <alignment horizontal="center" vertical="center" wrapText="1"/>
    </xf>
    <xf numFmtId="1" fontId="14" fillId="0" borderId="4" xfId="0" applyNumberFormat="1" applyFont="1" applyBorder="1" applyAlignment="1">
      <alignment horizontal="center" vertical="center" wrapText="1"/>
    </xf>
    <xf numFmtId="1" fontId="14" fillId="0" borderId="4" xfId="0" applyNumberFormat="1" applyFont="1" applyBorder="1" applyAlignment="1">
      <alignment horizontal="center" vertical="center" wrapText="1" shrinkToFit="1"/>
    </xf>
    <xf numFmtId="1" fontId="14" fillId="2" borderId="4" xfId="0" applyNumberFormat="1" applyFont="1" applyFill="1" applyBorder="1" applyAlignment="1">
      <alignment horizontal="center" vertical="center" wrapText="1" shrinkToFit="1"/>
    </xf>
    <xf numFmtId="1" fontId="16" fillId="0" borderId="8" xfId="5" applyNumberFormat="1" applyFont="1" applyBorder="1" applyAlignment="1">
      <alignment horizontal="center" vertical="center" wrapText="1"/>
    </xf>
    <xf numFmtId="0" fontId="12" fillId="0" borderId="4" xfId="0"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2" borderId="4" xfId="0" applyNumberFormat="1" applyFont="1" applyFill="1" applyBorder="1" applyAlignment="1">
      <alignment horizontal="center" vertical="center"/>
    </xf>
    <xf numFmtId="2" fontId="12" fillId="0" borderId="4" xfId="0" applyNumberFormat="1" applyFont="1" applyBorder="1" applyAlignment="1">
      <alignment horizontal="center" vertical="center"/>
    </xf>
    <xf numFmtId="14" fontId="12" fillId="0" borderId="4" xfId="0" applyNumberFormat="1" applyFont="1" applyBorder="1" applyAlignment="1">
      <alignment horizontal="center" vertical="center" wrapText="1"/>
    </xf>
    <xf numFmtId="0" fontId="17" fillId="0" borderId="4" xfId="0" applyFont="1" applyBorder="1" applyAlignment="1">
      <alignment horizontal="center" vertical="center"/>
    </xf>
    <xf numFmtId="0" fontId="17" fillId="0" borderId="4" xfId="0" applyFont="1" applyBorder="1" applyAlignment="1">
      <alignment horizontal="center" vertical="center" wrapText="1"/>
    </xf>
    <xf numFmtId="2" fontId="18" fillId="0" borderId="0" xfId="3" applyNumberFormat="1" applyFont="1" applyAlignment="1">
      <alignment horizontal="center" vertical="center" wrapText="1"/>
    </xf>
    <xf numFmtId="4" fontId="12" fillId="0" borderId="4" xfId="0" applyNumberFormat="1" applyFont="1" applyBorder="1" applyAlignment="1">
      <alignment horizontal="center" vertical="center"/>
    </xf>
    <xf numFmtId="0" fontId="17" fillId="0" borderId="0" xfId="0" applyFont="1"/>
    <xf numFmtId="0" fontId="17" fillId="0" borderId="0" xfId="0" applyFont="1" applyAlignment="1">
      <alignment wrapText="1"/>
    </xf>
    <xf numFmtId="2" fontId="17" fillId="0" borderId="0" xfId="0" applyNumberFormat="1" applyFont="1" applyAlignment="1">
      <alignment wrapText="1"/>
    </xf>
    <xf numFmtId="4" fontId="17" fillId="0" borderId="0" xfId="0" applyNumberFormat="1" applyFont="1"/>
    <xf numFmtId="2" fontId="13" fillId="0" borderId="8" xfId="0" applyNumberFormat="1" applyFont="1" applyBorder="1"/>
    <xf numFmtId="2" fontId="11" fillId="0" borderId="4" xfId="0" applyNumberFormat="1" applyFont="1" applyBorder="1"/>
    <xf numFmtId="4" fontId="2" fillId="0" borderId="4" xfId="0" applyNumberFormat="1" applyFont="1" applyBorder="1"/>
    <xf numFmtId="0" fontId="4" fillId="5" borderId="3" xfId="1" applyFont="1" applyFill="1" applyBorder="1" applyAlignment="1">
      <alignment horizontal="center" vertical="center"/>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14" fontId="12" fillId="0" borderId="4" xfId="0" applyNumberFormat="1" applyFont="1" applyBorder="1" applyAlignment="1">
      <alignment horizontal="center" vertical="center"/>
    </xf>
    <xf numFmtId="0" fontId="19" fillId="0" borderId="0" xfId="0" applyFont="1"/>
    <xf numFmtId="0" fontId="3" fillId="0" borderId="0" xfId="1" applyFont="1" applyAlignment="1">
      <alignment vertical="center" wrapText="1"/>
    </xf>
    <xf numFmtId="0" fontId="3" fillId="0" borderId="0" xfId="1" applyFont="1" applyAlignment="1">
      <alignment horizontal="right" vertical="top"/>
    </xf>
    <xf numFmtId="0" fontId="10" fillId="0" borderId="4" xfId="0" applyFont="1" applyBorder="1" applyAlignment="1">
      <alignment horizontal="center" vertical="center" wrapText="1"/>
    </xf>
    <xf numFmtId="0" fontId="0" fillId="0" borderId="4" xfId="0" applyBorder="1"/>
    <xf numFmtId="0" fontId="14" fillId="0" borderId="1" xfId="3" applyFont="1" applyBorder="1" applyAlignment="1">
      <alignment horizontal="center" vertical="center" wrapText="1" shrinkToFit="1"/>
    </xf>
    <xf numFmtId="2" fontId="19" fillId="0" borderId="0" xfId="0" applyNumberFormat="1" applyFont="1"/>
    <xf numFmtId="14" fontId="19" fillId="0" borderId="0" xfId="0" applyNumberFormat="1" applyFont="1"/>
    <xf numFmtId="165" fontId="3" fillId="0" borderId="4" xfId="6" applyNumberFormat="1" applyFont="1" applyBorder="1" applyAlignment="1">
      <alignment horizontal="right" vertical="center"/>
    </xf>
    <xf numFmtId="10" fontId="4" fillId="0" borderId="0" xfId="2" applyNumberFormat="1" applyFont="1" applyFill="1" applyBorder="1" applyAlignment="1">
      <alignment horizontal="right" vertical="center"/>
    </xf>
    <xf numFmtId="0" fontId="4" fillId="6" borderId="4" xfId="0" applyFont="1" applyFill="1" applyBorder="1" applyAlignment="1">
      <alignment horizontal="center" vertical="center" wrapText="1"/>
    </xf>
    <xf numFmtId="0" fontId="3" fillId="0" borderId="0" xfId="0" applyFont="1"/>
    <xf numFmtId="10" fontId="3" fillId="0" borderId="0" xfId="6" applyNumberFormat="1" applyFont="1" applyFill="1" applyBorder="1" applyAlignment="1">
      <alignment horizontal="right" vertical="center"/>
    </xf>
    <xf numFmtId="0" fontId="4" fillId="0" borderId="0" xfId="0" applyFont="1"/>
    <xf numFmtId="164" fontId="1" fillId="0" borderId="0" xfId="6" applyFont="1" applyFill="1" applyAlignment="1">
      <alignment horizontal="center" vertical="center"/>
    </xf>
    <xf numFmtId="10" fontId="1" fillId="0" borderId="0" xfId="7" applyNumberFormat="1" applyFont="1" applyFill="1" applyAlignment="1">
      <alignment horizontal="center" vertical="center"/>
    </xf>
    <xf numFmtId="10" fontId="3" fillId="2" borderId="4" xfId="1" applyNumberFormat="1" applyFont="1" applyFill="1" applyBorder="1" applyAlignment="1">
      <alignment horizontal="center" vertical="center" wrapText="1"/>
    </xf>
    <xf numFmtId="2" fontId="12" fillId="7" borderId="4" xfId="0" applyNumberFormat="1" applyFont="1" applyFill="1" applyBorder="1" applyAlignment="1">
      <alignment horizontal="center" vertical="center"/>
    </xf>
    <xf numFmtId="165" fontId="3" fillId="0" borderId="0" xfId="2" applyNumberFormat="1" applyFont="1" applyFill="1" applyBorder="1" applyAlignment="1">
      <alignment horizontal="right" vertical="center"/>
    </xf>
    <xf numFmtId="0" fontId="10" fillId="0" borderId="0" xfId="0" applyFont="1" applyAlignment="1">
      <alignment horizontal="center" vertical="center"/>
    </xf>
    <xf numFmtId="0" fontId="2" fillId="0" borderId="3" xfId="0" applyFont="1" applyBorder="1" applyAlignment="1">
      <alignment horizontal="left" vertical="center"/>
    </xf>
    <xf numFmtId="0" fontId="3" fillId="0" borderId="1" xfId="1" applyFont="1" applyBorder="1" applyAlignment="1">
      <alignment horizontal="left" vertical="top" wrapText="1"/>
    </xf>
    <xf numFmtId="0" fontId="3" fillId="0" borderId="2" xfId="1" applyFont="1" applyBorder="1" applyAlignment="1">
      <alignment horizontal="left" vertical="top" wrapText="1"/>
    </xf>
    <xf numFmtId="0" fontId="3" fillId="0" borderId="3" xfId="1" applyFont="1" applyBorder="1" applyAlignment="1">
      <alignment horizontal="left" vertical="top" wrapText="1"/>
    </xf>
    <xf numFmtId="0" fontId="4" fillId="0" borderId="5" xfId="1" applyFont="1" applyBorder="1" applyAlignment="1">
      <alignment horizontal="center"/>
    </xf>
    <xf numFmtId="0" fontId="4" fillId="3" borderId="6" xfId="1" applyFont="1" applyFill="1" applyBorder="1" applyAlignment="1">
      <alignment horizontal="center" vertical="center" wrapText="1"/>
    </xf>
    <xf numFmtId="0" fontId="4" fillId="3" borderId="7" xfId="1" applyFont="1" applyFill="1" applyBorder="1" applyAlignment="1">
      <alignment horizontal="center" vertical="center" wrapText="1"/>
    </xf>
    <xf numFmtId="0" fontId="4" fillId="3" borderId="6" xfId="1" applyFont="1" applyFill="1" applyBorder="1" applyAlignment="1">
      <alignment horizontal="center" vertical="center"/>
    </xf>
    <xf numFmtId="0" fontId="4" fillId="3" borderId="7" xfId="1" applyFont="1" applyFill="1" applyBorder="1" applyAlignment="1">
      <alignment horizontal="center" vertical="center"/>
    </xf>
    <xf numFmtId="0" fontId="4" fillId="4" borderId="6" xfId="1" applyFont="1" applyFill="1" applyBorder="1" applyAlignment="1">
      <alignment horizontal="center" vertical="center" wrapText="1"/>
    </xf>
    <xf numFmtId="0" fontId="4" fillId="4" borderId="7" xfId="1" applyFont="1" applyFill="1" applyBorder="1" applyAlignment="1">
      <alignment horizontal="center" vertical="center" wrapText="1"/>
    </xf>
    <xf numFmtId="0" fontId="8" fillId="0" borderId="0" xfId="4" applyFont="1" applyAlignment="1">
      <alignment wrapText="1"/>
    </xf>
    <xf numFmtId="0" fontId="4" fillId="3" borderId="4" xfId="1" applyFont="1" applyFill="1" applyBorder="1" applyAlignment="1">
      <alignment horizontal="center" vertical="center" wrapText="1"/>
    </xf>
    <xf numFmtId="0" fontId="4" fillId="0" borderId="1" xfId="1" applyFont="1" applyBorder="1" applyAlignment="1">
      <alignment horizontal="left"/>
    </xf>
    <xf numFmtId="0" fontId="4" fillId="0" borderId="2" xfId="1" applyFont="1" applyBorder="1" applyAlignment="1">
      <alignment horizontal="left"/>
    </xf>
    <xf numFmtId="0" fontId="4" fillId="5" borderId="1" xfId="1" applyFont="1" applyFill="1" applyBorder="1" applyAlignment="1">
      <alignment horizontal="center" vertical="center"/>
    </xf>
    <xf numFmtId="0" fontId="4" fillId="5" borderId="3" xfId="1" applyFont="1" applyFill="1" applyBorder="1" applyAlignment="1">
      <alignment horizontal="center" vertical="center"/>
    </xf>
    <xf numFmtId="0" fontId="3" fillId="0" borderId="0" xfId="1" applyFont="1" applyAlignment="1">
      <alignment horizontal="left"/>
    </xf>
    <xf numFmtId="0" fontId="6" fillId="3" borderId="6"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4" fillId="6" borderId="2" xfId="1" applyFont="1" applyFill="1" applyBorder="1" applyAlignment="1">
      <alignment horizontal="center" vertical="center"/>
    </xf>
    <xf numFmtId="0" fontId="4" fillId="6" borderId="3" xfId="1" applyFont="1" applyFill="1" applyBorder="1" applyAlignment="1">
      <alignment horizontal="center" vertical="center"/>
    </xf>
    <xf numFmtId="0" fontId="4" fillId="0" borderId="9" xfId="1" applyFont="1" applyBorder="1" applyAlignment="1">
      <alignment horizontal="right" vertical="center"/>
    </xf>
    <xf numFmtId="0" fontId="4" fillId="3" borderId="1" xfId="1" applyFont="1" applyFill="1" applyBorder="1" applyAlignment="1">
      <alignment horizontal="center" vertical="center"/>
    </xf>
    <xf numFmtId="0" fontId="4" fillId="3" borderId="2" xfId="1" applyFont="1" applyFill="1" applyBorder="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left" vertical="center"/>
    </xf>
    <xf numFmtId="0" fontId="2" fillId="0" borderId="3" xfId="0" applyFont="1" applyBorder="1" applyAlignment="1">
      <alignment horizontal="left" vertical="center"/>
    </xf>
  </cellXfs>
  <cellStyles count="8">
    <cellStyle name="Обычный" xfId="0" builtinId="0"/>
    <cellStyle name="Обычный 2" xfId="4" xr:uid="{00000000-0005-0000-0000-000001000000}"/>
    <cellStyle name="Обычный 2 2" xfId="3" xr:uid="{00000000-0005-0000-0000-000002000000}"/>
    <cellStyle name="Обычный 3" xfId="5" xr:uid="{00000000-0005-0000-0000-000003000000}"/>
    <cellStyle name="Обычный 4" xfId="1" xr:uid="{00000000-0005-0000-0000-000004000000}"/>
    <cellStyle name="Процентный" xfId="7" builtinId="5"/>
    <cellStyle name="Финансовый" xfId="6" builtinId="3"/>
    <cellStyle name="Финансовый 3" xfId="2"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9"/>
  <sheetViews>
    <sheetView view="pageBreakPreview" zoomScale="55" zoomScaleNormal="55" zoomScaleSheetLayoutView="55" workbookViewId="0">
      <selection activeCell="T14" sqref="T14"/>
    </sheetView>
  </sheetViews>
  <sheetFormatPr defaultRowHeight="15" x14ac:dyDescent="0.25"/>
  <cols>
    <col min="1" max="1" width="7.5703125" customWidth="1"/>
    <col min="2" max="2" width="22.85546875" customWidth="1"/>
    <col min="3" max="3" width="9.28515625" customWidth="1"/>
    <col min="4" max="4" width="16.42578125" customWidth="1"/>
    <col min="5" max="5" width="13.7109375" customWidth="1"/>
    <col min="6" max="6" width="24.7109375" customWidth="1"/>
    <col min="7" max="7" width="18.140625" customWidth="1"/>
    <col min="8" max="8" width="19.42578125" customWidth="1"/>
    <col min="9" max="9" width="17.7109375" hidden="1" customWidth="1"/>
    <col min="10" max="10" width="20.28515625" hidden="1" customWidth="1"/>
    <col min="11" max="11" width="17.5703125" hidden="1" customWidth="1"/>
    <col min="12" max="12" width="20.5703125" hidden="1" customWidth="1"/>
    <col min="13" max="13" width="17.5703125" customWidth="1"/>
    <col min="14" max="15" width="16.42578125" customWidth="1"/>
    <col min="16" max="16" width="19" customWidth="1"/>
    <col min="17" max="17" width="16.42578125" customWidth="1"/>
    <col min="18" max="18" width="18.140625" customWidth="1"/>
    <col min="19" max="19" width="16.42578125" customWidth="1"/>
    <col min="20" max="20" width="39.5703125" customWidth="1"/>
    <col min="21" max="21" width="19.5703125" customWidth="1"/>
  </cols>
  <sheetData>
    <row r="1" spans="1:23" s="9" customFormat="1" ht="15.75" x14ac:dyDescent="0.25">
      <c r="A1" s="1"/>
      <c r="B1" s="1"/>
      <c r="C1" s="1"/>
      <c r="D1" s="1"/>
      <c r="E1" s="1"/>
      <c r="F1" s="1"/>
      <c r="G1" s="2"/>
      <c r="H1" s="2"/>
      <c r="I1" s="1"/>
      <c r="J1" s="1"/>
      <c r="K1" s="3"/>
      <c r="L1" s="3"/>
      <c r="M1" s="3"/>
      <c r="N1" s="3"/>
      <c r="O1" s="3"/>
      <c r="P1" s="3"/>
      <c r="Q1" s="3"/>
      <c r="R1" s="3"/>
      <c r="S1" s="3"/>
      <c r="T1" s="3"/>
      <c r="U1" s="3" t="s">
        <v>0</v>
      </c>
    </row>
    <row r="2" spans="1:23" s="9" customFormat="1" ht="15.75" customHeight="1" x14ac:dyDescent="0.3">
      <c r="A2" s="4" t="s">
        <v>307</v>
      </c>
      <c r="B2" s="1"/>
      <c r="C2" s="1"/>
      <c r="D2" s="1"/>
      <c r="E2" s="1"/>
      <c r="F2" s="1"/>
      <c r="G2" s="1"/>
      <c r="H2" s="1"/>
      <c r="I2" s="1"/>
      <c r="J2" s="1"/>
      <c r="K2" s="73"/>
      <c r="L2" s="5"/>
      <c r="M2" s="5"/>
      <c r="N2" s="5"/>
      <c r="O2" s="5"/>
      <c r="P2" s="5"/>
      <c r="Q2" s="5"/>
      <c r="R2" s="5"/>
      <c r="S2" s="5"/>
      <c r="T2" s="5"/>
      <c r="U2" s="74" t="s">
        <v>285</v>
      </c>
      <c r="V2" s="6"/>
      <c r="W2" s="6"/>
    </row>
    <row r="3" spans="1:23" s="9" customFormat="1" ht="15.75" x14ac:dyDescent="0.25">
      <c r="A3" s="1"/>
      <c r="B3" s="1"/>
      <c r="C3" s="1"/>
      <c r="D3" s="1"/>
      <c r="E3" s="1"/>
      <c r="F3" s="1"/>
      <c r="G3" s="1"/>
      <c r="H3" s="1"/>
      <c r="I3" s="1"/>
      <c r="J3" s="1"/>
      <c r="K3" s="24"/>
      <c r="L3" s="5"/>
      <c r="M3" s="5"/>
      <c r="N3" s="5"/>
      <c r="O3" s="5"/>
      <c r="P3" s="5"/>
      <c r="Q3" s="5"/>
      <c r="R3" s="5"/>
      <c r="S3" s="5"/>
      <c r="T3" s="5"/>
      <c r="U3" s="6"/>
      <c r="V3" s="6"/>
      <c r="W3" s="6"/>
    </row>
    <row r="4" spans="1:23" s="9" customFormat="1" ht="26.25" customHeight="1" x14ac:dyDescent="0.25">
      <c r="A4" s="93" t="s">
        <v>1</v>
      </c>
      <c r="B4" s="94"/>
      <c r="C4" s="94"/>
      <c r="D4" s="94"/>
      <c r="E4" s="95"/>
      <c r="F4" s="7" t="s">
        <v>2</v>
      </c>
      <c r="G4" s="8"/>
      <c r="H4" s="8"/>
      <c r="I4" s="1"/>
      <c r="J4" s="1"/>
    </row>
    <row r="5" spans="1:23" ht="69.75" customHeight="1" x14ac:dyDescent="0.25">
      <c r="A5" s="93" t="s">
        <v>3</v>
      </c>
      <c r="B5" s="94"/>
      <c r="C5" s="94"/>
      <c r="D5" s="94"/>
      <c r="E5" s="95"/>
      <c r="F5" s="7">
        <v>7</v>
      </c>
      <c r="G5" s="1"/>
      <c r="H5" s="1"/>
      <c r="I5" s="9"/>
      <c r="J5" s="9"/>
      <c r="K5" s="9"/>
      <c r="L5" s="9"/>
      <c r="M5" s="9"/>
      <c r="N5" s="9"/>
      <c r="O5" s="9"/>
      <c r="P5" s="9"/>
      <c r="Q5" s="9"/>
      <c r="R5" s="9"/>
      <c r="S5" s="9"/>
      <c r="T5" s="9"/>
      <c r="U5" s="9"/>
    </row>
    <row r="6" spans="1:23" ht="36" customHeight="1" x14ac:dyDescent="0.25">
      <c r="A6" s="93" t="s">
        <v>4</v>
      </c>
      <c r="B6" s="94"/>
      <c r="C6" s="94"/>
      <c r="D6" s="94"/>
      <c r="E6" s="95"/>
      <c r="F6" s="7" t="s">
        <v>5</v>
      </c>
      <c r="G6" s="1"/>
      <c r="H6" s="1"/>
      <c r="I6" s="1"/>
      <c r="J6" s="1"/>
      <c r="K6" s="9"/>
      <c r="L6" s="9"/>
      <c r="M6" s="9"/>
      <c r="N6" s="9"/>
      <c r="O6" s="9"/>
      <c r="P6" s="9"/>
      <c r="Q6" s="9"/>
      <c r="R6" s="9"/>
      <c r="S6" s="9"/>
      <c r="T6" s="9"/>
      <c r="U6" s="9"/>
    </row>
    <row r="7" spans="1:23" ht="52.5" customHeight="1" x14ac:dyDescent="0.25">
      <c r="A7" s="93" t="s">
        <v>6</v>
      </c>
      <c r="B7" s="94"/>
      <c r="C7" s="94"/>
      <c r="D7" s="94"/>
      <c r="E7" s="95"/>
      <c r="F7" s="10">
        <v>7</v>
      </c>
      <c r="G7" s="1"/>
      <c r="H7" s="1"/>
      <c r="I7" s="9"/>
      <c r="J7" s="9"/>
      <c r="K7" s="9"/>
      <c r="L7" s="9"/>
      <c r="M7" s="9"/>
      <c r="N7" s="9"/>
      <c r="O7" s="9"/>
      <c r="P7" s="9"/>
      <c r="Q7" s="9"/>
      <c r="R7" s="9"/>
      <c r="S7" s="9"/>
      <c r="T7" s="9"/>
      <c r="U7" s="9"/>
    </row>
    <row r="8" spans="1:23" ht="51" customHeight="1" x14ac:dyDescent="0.25">
      <c r="A8" s="93" t="s">
        <v>7</v>
      </c>
      <c r="B8" s="94"/>
      <c r="C8" s="94"/>
      <c r="D8" s="94"/>
      <c r="E8" s="95"/>
      <c r="F8" s="88">
        <v>7.7700000000000005E-2</v>
      </c>
      <c r="G8" s="1"/>
      <c r="H8" s="1"/>
      <c r="I8" s="9"/>
      <c r="J8" s="9"/>
      <c r="K8" s="9"/>
      <c r="L8" s="9"/>
      <c r="M8" s="90"/>
      <c r="N8" s="9"/>
      <c r="O8" s="9"/>
      <c r="P8" s="9"/>
      <c r="Q8" s="9"/>
      <c r="R8" s="9"/>
      <c r="S8" s="9"/>
      <c r="T8" s="9"/>
      <c r="U8" s="9"/>
    </row>
    <row r="9" spans="1:23" ht="15.75" x14ac:dyDescent="0.25">
      <c r="A9" s="1"/>
      <c r="B9" s="1"/>
      <c r="C9" s="1"/>
      <c r="D9" s="1"/>
      <c r="E9" s="1"/>
      <c r="F9" s="1"/>
      <c r="G9" s="1"/>
      <c r="H9" s="1"/>
      <c r="I9" s="1"/>
      <c r="J9" s="1"/>
      <c r="K9" s="1"/>
      <c r="L9" s="1"/>
      <c r="M9" s="1"/>
      <c r="N9" s="1"/>
      <c r="O9" s="1"/>
      <c r="P9" s="1"/>
      <c r="Q9" s="1"/>
      <c r="R9" s="1"/>
      <c r="S9" s="1"/>
      <c r="T9" s="1"/>
      <c r="U9" s="9"/>
    </row>
    <row r="10" spans="1:23" ht="15.75" x14ac:dyDescent="0.25">
      <c r="A10" s="96" t="s">
        <v>8</v>
      </c>
      <c r="B10" s="96"/>
      <c r="C10" s="96"/>
      <c r="D10" s="96"/>
      <c r="E10" s="96"/>
      <c r="F10" s="96"/>
      <c r="G10" s="96"/>
      <c r="H10" s="96"/>
      <c r="I10" s="96"/>
      <c r="J10" s="96"/>
      <c r="K10" s="96"/>
      <c r="L10" s="11"/>
      <c r="M10" s="11"/>
      <c r="N10" s="11"/>
      <c r="O10" s="11"/>
      <c r="P10" s="11"/>
      <c r="Q10" s="11"/>
      <c r="R10" s="11"/>
      <c r="S10" s="11"/>
      <c r="T10" s="11"/>
      <c r="U10" s="12"/>
    </row>
    <row r="11" spans="1:23" ht="15.75" x14ac:dyDescent="0.25">
      <c r="A11" s="97" t="s">
        <v>9</v>
      </c>
      <c r="B11" s="99" t="s">
        <v>10</v>
      </c>
      <c r="C11" s="69"/>
      <c r="D11" s="101" t="s">
        <v>11</v>
      </c>
      <c r="E11" s="101" t="s">
        <v>12</v>
      </c>
      <c r="F11" s="97" t="s">
        <v>13</v>
      </c>
      <c r="G11" s="110" t="s">
        <v>312</v>
      </c>
      <c r="H11" s="110" t="s">
        <v>283</v>
      </c>
      <c r="I11" s="115" t="s">
        <v>14</v>
      </c>
      <c r="J11" s="116"/>
      <c r="K11" s="116"/>
      <c r="L11" s="116"/>
      <c r="M11" s="112" t="s">
        <v>14</v>
      </c>
      <c r="N11" s="112"/>
      <c r="O11" s="112"/>
      <c r="P11" s="112"/>
      <c r="Q11" s="112"/>
      <c r="R11" s="112"/>
      <c r="S11" s="113"/>
      <c r="T11" s="104" t="s">
        <v>15</v>
      </c>
      <c r="U11" s="104" t="s">
        <v>279</v>
      </c>
    </row>
    <row r="12" spans="1:23" ht="110.25" customHeight="1" x14ac:dyDescent="0.25">
      <c r="A12" s="98"/>
      <c r="B12" s="100"/>
      <c r="C12" s="70" t="s">
        <v>280</v>
      </c>
      <c r="D12" s="102"/>
      <c r="E12" s="102"/>
      <c r="F12" s="98"/>
      <c r="G12" s="111"/>
      <c r="H12" s="111"/>
      <c r="I12" s="13" t="s">
        <v>284</v>
      </c>
      <c r="J12" s="13" t="s">
        <v>282</v>
      </c>
      <c r="K12" s="13" t="s">
        <v>16</v>
      </c>
      <c r="L12" s="13" t="s">
        <v>301</v>
      </c>
      <c r="M12" s="82" t="s">
        <v>302</v>
      </c>
      <c r="N12" s="82" t="s">
        <v>303</v>
      </c>
      <c r="O12" s="82" t="s">
        <v>304</v>
      </c>
      <c r="P12" s="82" t="s">
        <v>305</v>
      </c>
      <c r="Q12" s="82" t="s">
        <v>306</v>
      </c>
      <c r="R12" s="82" t="s">
        <v>308</v>
      </c>
      <c r="S12" s="82" t="s">
        <v>309</v>
      </c>
      <c r="T12" s="104"/>
      <c r="U12" s="104"/>
    </row>
    <row r="13" spans="1:23" ht="15.75" x14ac:dyDescent="0.25">
      <c r="A13" s="105" t="s">
        <v>17</v>
      </c>
      <c r="B13" s="106"/>
      <c r="C13" s="106"/>
      <c r="D13" s="106"/>
      <c r="E13" s="106"/>
      <c r="F13" s="106"/>
      <c r="G13" s="106"/>
      <c r="H13" s="106"/>
      <c r="I13" s="106"/>
      <c r="J13" s="106"/>
      <c r="K13" s="106"/>
      <c r="L13" s="14"/>
      <c r="M13" s="14"/>
      <c r="N13" s="14"/>
      <c r="O13" s="14"/>
      <c r="P13" s="14"/>
      <c r="Q13" s="14"/>
      <c r="R13" s="14"/>
      <c r="S13" s="14"/>
      <c r="T13" s="14"/>
      <c r="U13" s="15"/>
    </row>
    <row r="14" spans="1:23" ht="267.75" customHeight="1" x14ac:dyDescent="0.25">
      <c r="A14" s="16">
        <v>2</v>
      </c>
      <c r="B14" s="17" t="s">
        <v>313</v>
      </c>
      <c r="C14" s="17">
        <v>46</v>
      </c>
      <c r="D14" s="18" t="s">
        <v>18</v>
      </c>
      <c r="E14" s="18" t="s">
        <v>281</v>
      </c>
      <c r="F14" s="17" t="s">
        <v>38</v>
      </c>
      <c r="G14" s="19">
        <f>'Лот № 1 расшифровка для ЮД'!L50</f>
        <v>4705112.3</v>
      </c>
      <c r="H14" s="19">
        <f>'Лот № 1 расшифровка для ЮД'!R50</f>
        <v>6130508.75</v>
      </c>
      <c r="I14" s="19">
        <f>H14</f>
        <v>6130508.75</v>
      </c>
      <c r="J14" s="19">
        <f>I14*0.9</f>
        <v>5517457.875</v>
      </c>
      <c r="K14" s="19">
        <f>J14</f>
        <v>5517457.875</v>
      </c>
      <c r="L14" s="80">
        <f>ROUND(K14*(100%-5%*9),2)</f>
        <v>3034601.83</v>
      </c>
      <c r="M14" s="80">
        <f>ROUND(K14*(100%-5%*9-7.77%*1),2)</f>
        <v>2605895.35</v>
      </c>
      <c r="N14" s="80">
        <f>ROUND(K14*(100%-5%*9-7.77%*2),2)</f>
        <v>2177188.88</v>
      </c>
      <c r="O14" s="80">
        <f>ROUND(K14*(100%-5%*9-7.77%*3),2)</f>
        <v>1748482.4</v>
      </c>
      <c r="P14" s="80">
        <f>ROUND(K14*(100%-5%*9-7.77%*4),2)</f>
        <v>1319775.92</v>
      </c>
      <c r="Q14" s="80">
        <f>ROUND(K14*(100%-5%*9-7.77%*5),2)</f>
        <v>891069.45</v>
      </c>
      <c r="R14" s="80">
        <f>ROUND(K14*(100%-5%*9-7.77%*6),2)</f>
        <v>462362.97</v>
      </c>
      <c r="S14" s="80">
        <f>ROUND(K14*(100%-5%*9-7.77%*7),2)</f>
        <v>33656.49</v>
      </c>
      <c r="T14" s="20" t="s">
        <v>326</v>
      </c>
      <c r="U14" s="18" t="s">
        <v>278</v>
      </c>
    </row>
    <row r="15" spans="1:23" ht="47.25" customHeight="1" x14ac:dyDescent="0.25">
      <c r="A15" s="107" t="s">
        <v>19</v>
      </c>
      <c r="B15" s="108"/>
      <c r="C15" s="68"/>
      <c r="D15" s="21"/>
      <c r="E15" s="22"/>
      <c r="F15" s="22"/>
      <c r="G15" s="23">
        <f t="shared" ref="G15:L15" si="0">SUM(G14)</f>
        <v>4705112.3</v>
      </c>
      <c r="H15" s="23">
        <f t="shared" si="0"/>
        <v>6130508.75</v>
      </c>
      <c r="I15" s="23">
        <f t="shared" si="0"/>
        <v>6130508.75</v>
      </c>
      <c r="J15" s="23">
        <f t="shared" si="0"/>
        <v>5517457.875</v>
      </c>
      <c r="K15" s="23">
        <f t="shared" si="0"/>
        <v>5517457.875</v>
      </c>
      <c r="L15" s="23">
        <f t="shared" si="0"/>
        <v>3034601.83</v>
      </c>
      <c r="M15" s="23">
        <f t="shared" ref="M15:S15" si="1">SUM(M14)</f>
        <v>2605895.35</v>
      </c>
      <c r="N15" s="23">
        <f t="shared" si="1"/>
        <v>2177188.88</v>
      </c>
      <c r="O15" s="23">
        <f t="shared" si="1"/>
        <v>1748482.4</v>
      </c>
      <c r="P15" s="23">
        <f t="shared" si="1"/>
        <v>1319775.92</v>
      </c>
      <c r="Q15" s="23">
        <f t="shared" si="1"/>
        <v>891069.45</v>
      </c>
      <c r="R15" s="23">
        <f t="shared" si="1"/>
        <v>462362.97</v>
      </c>
      <c r="S15" s="23">
        <f t="shared" si="1"/>
        <v>33656.49</v>
      </c>
      <c r="T15" s="23"/>
      <c r="U15" s="22"/>
    </row>
    <row r="16" spans="1:23" ht="21" customHeight="1" x14ac:dyDescent="0.25">
      <c r="A16" s="114" t="s">
        <v>310</v>
      </c>
      <c r="B16" s="114"/>
      <c r="C16" s="114"/>
      <c r="D16" s="114"/>
      <c r="E16" s="114"/>
      <c r="F16" s="114"/>
      <c r="G16" s="114"/>
      <c r="H16" s="114"/>
      <c r="I16" s="81">
        <v>1</v>
      </c>
      <c r="J16" s="81">
        <v>0.9</v>
      </c>
      <c r="K16" s="81">
        <v>0.9</v>
      </c>
      <c r="L16" s="81">
        <v>0.495</v>
      </c>
      <c r="M16" s="81">
        <v>0.42499999999999999</v>
      </c>
      <c r="N16" s="81">
        <v>0.35510000000000003</v>
      </c>
      <c r="O16" s="81">
        <v>0.28520000000000001</v>
      </c>
      <c r="P16" s="81">
        <v>0.21529999999999999</v>
      </c>
      <c r="Q16" s="81">
        <v>0.14530000000000001</v>
      </c>
      <c r="R16" s="81">
        <v>7.5399999999999995E-2</v>
      </c>
      <c r="S16" s="81">
        <v>5.4999999999999997E-3</v>
      </c>
      <c r="T16" s="25"/>
      <c r="U16" s="1"/>
    </row>
    <row r="17" spans="1:28" ht="15.75" customHeight="1" x14ac:dyDescent="0.25">
      <c r="A17" s="83"/>
      <c r="J17" s="84"/>
      <c r="K17" s="84"/>
      <c r="L17" s="84"/>
      <c r="M17" s="84"/>
      <c r="N17" s="84"/>
      <c r="O17" s="84"/>
      <c r="P17" s="84"/>
      <c r="Q17" s="84"/>
      <c r="R17" s="84"/>
      <c r="S17" s="84"/>
      <c r="T17" s="84"/>
      <c r="U17" s="84"/>
      <c r="V17" s="84"/>
      <c r="W17" s="84"/>
      <c r="X17" s="84"/>
      <c r="Y17" s="84"/>
      <c r="Z17" s="85"/>
      <c r="AA17" s="86"/>
      <c r="AB17" s="87"/>
    </row>
    <row r="18" spans="1:28" ht="15.75" x14ac:dyDescent="0.25">
      <c r="A18" s="83" t="s">
        <v>311</v>
      </c>
      <c r="B18" s="1"/>
      <c r="C18" s="1"/>
      <c r="D18" s="1"/>
      <c r="E18" s="24"/>
      <c r="F18" s="24"/>
      <c r="G18" s="24"/>
      <c r="H18" s="24"/>
      <c r="I18" s="24"/>
      <c r="J18" s="24"/>
      <c r="K18" s="24"/>
      <c r="L18" s="24"/>
      <c r="M18" s="24"/>
      <c r="N18" s="24"/>
      <c r="O18" s="24"/>
      <c r="P18" s="24"/>
      <c r="Q18" s="24"/>
      <c r="R18" s="24"/>
      <c r="S18" s="24"/>
      <c r="T18" s="24"/>
      <c r="U18" s="24"/>
    </row>
    <row r="19" spans="1:28" ht="15.75" x14ac:dyDescent="0.25">
      <c r="A19" s="26"/>
      <c r="B19" s="26"/>
      <c r="C19" s="26"/>
      <c r="D19" s="1"/>
      <c r="E19" s="1"/>
      <c r="F19" s="1"/>
      <c r="G19" s="1"/>
      <c r="H19" s="1"/>
      <c r="I19" s="1"/>
      <c r="J19" s="1"/>
      <c r="K19" s="1"/>
      <c r="L19" s="1"/>
      <c r="M19" s="1"/>
      <c r="N19" s="1"/>
      <c r="O19" s="1"/>
      <c r="P19" s="1"/>
      <c r="Q19" s="1"/>
      <c r="R19" s="1"/>
      <c r="S19" s="1"/>
      <c r="T19" s="1"/>
      <c r="U19" s="9"/>
    </row>
    <row r="20" spans="1:28" ht="15.75" x14ac:dyDescent="0.25">
      <c r="A20" s="26"/>
      <c r="B20" s="26"/>
      <c r="C20" s="26"/>
      <c r="D20" s="1"/>
      <c r="E20" s="1"/>
      <c r="F20" s="1"/>
      <c r="G20" s="1"/>
      <c r="H20" s="1"/>
      <c r="I20" s="1"/>
      <c r="J20" s="1"/>
      <c r="K20" s="1"/>
      <c r="L20" s="1"/>
      <c r="M20" s="1"/>
      <c r="N20" s="1"/>
      <c r="O20" s="1"/>
      <c r="P20" s="1"/>
      <c r="Q20" s="1"/>
      <c r="R20" s="1"/>
      <c r="S20" s="1"/>
      <c r="T20" s="1"/>
      <c r="U20" s="9"/>
    </row>
    <row r="21" spans="1:28" ht="15.75" x14ac:dyDescent="0.25">
      <c r="A21" s="26"/>
      <c r="B21" s="26"/>
      <c r="C21" s="26"/>
      <c r="D21" s="1"/>
      <c r="E21" s="1"/>
      <c r="F21" s="1"/>
      <c r="G21" s="1"/>
      <c r="H21" s="1"/>
      <c r="I21" s="1"/>
      <c r="J21" s="1"/>
      <c r="K21" s="1"/>
      <c r="L21" s="1"/>
      <c r="M21" s="1"/>
      <c r="N21" s="1"/>
      <c r="O21" s="1"/>
      <c r="P21" s="1"/>
      <c r="Q21" s="1"/>
      <c r="R21" s="1"/>
      <c r="S21" s="1"/>
      <c r="T21" s="1"/>
      <c r="U21" s="9"/>
    </row>
    <row r="22" spans="1:28" ht="15.75" x14ac:dyDescent="0.25">
      <c r="A22" s="1"/>
      <c r="B22" s="1"/>
      <c r="C22" s="1"/>
      <c r="D22" s="1"/>
      <c r="E22" s="109"/>
      <c r="F22" s="109"/>
      <c r="G22" s="24"/>
      <c r="H22" s="24"/>
      <c r="I22" s="24"/>
      <c r="J22" s="25"/>
      <c r="K22" s="24"/>
      <c r="L22" s="24"/>
      <c r="M22" s="24"/>
      <c r="N22" s="24"/>
      <c r="O22" s="24"/>
      <c r="P22" s="24"/>
      <c r="Q22" s="24"/>
      <c r="R22" s="24"/>
      <c r="S22" s="24"/>
      <c r="T22" s="24"/>
      <c r="U22" s="9"/>
    </row>
    <row r="23" spans="1:28" ht="15.75" x14ac:dyDescent="0.25">
      <c r="A23" s="26"/>
      <c r="B23" s="26"/>
      <c r="C23" s="26"/>
      <c r="D23" s="1"/>
      <c r="E23" s="1"/>
      <c r="F23" s="1"/>
      <c r="G23" s="1"/>
      <c r="H23" s="1"/>
      <c r="I23" s="1"/>
      <c r="J23" s="1"/>
      <c r="K23" s="1"/>
      <c r="L23" s="1"/>
      <c r="M23" s="1"/>
      <c r="N23" s="1"/>
      <c r="O23" s="1"/>
      <c r="P23" s="1"/>
      <c r="Q23" s="1"/>
      <c r="R23" s="1"/>
      <c r="S23" s="1"/>
      <c r="T23" s="1"/>
      <c r="U23" s="9"/>
    </row>
    <row r="24" spans="1:28" ht="15.75" customHeight="1" x14ac:dyDescent="0.25">
      <c r="A24" s="26"/>
      <c r="B24" s="26"/>
      <c r="C24" s="26"/>
      <c r="D24" s="1"/>
      <c r="E24" s="1"/>
      <c r="F24" s="1"/>
      <c r="G24" s="1"/>
      <c r="H24" s="1"/>
      <c r="I24" s="1"/>
      <c r="J24" s="1"/>
      <c r="K24" s="1"/>
      <c r="L24" s="1"/>
      <c r="M24" s="1"/>
      <c r="N24" s="1"/>
      <c r="O24" s="1"/>
      <c r="P24" s="1"/>
      <c r="Q24" s="1"/>
      <c r="R24" s="1"/>
      <c r="S24" s="1"/>
      <c r="T24" s="1"/>
      <c r="U24" s="9"/>
    </row>
    <row r="25" spans="1:28" ht="15.75" x14ac:dyDescent="0.25">
      <c r="A25" s="26"/>
      <c r="B25" s="26"/>
      <c r="C25" s="26"/>
      <c r="D25" s="1"/>
      <c r="E25" s="1"/>
      <c r="F25" s="1"/>
      <c r="G25" s="1"/>
      <c r="H25" s="1"/>
      <c r="I25" s="1"/>
      <c r="J25" s="1"/>
      <c r="K25" s="1"/>
      <c r="L25" s="1"/>
      <c r="M25" s="1"/>
      <c r="N25" s="1"/>
      <c r="O25" s="1"/>
      <c r="P25" s="1"/>
      <c r="Q25" s="1"/>
      <c r="R25" s="1"/>
      <c r="S25" s="1"/>
      <c r="T25" s="1"/>
      <c r="U25" s="9"/>
    </row>
    <row r="26" spans="1:28" ht="15.75" x14ac:dyDescent="0.25">
      <c r="A26" s="1"/>
      <c r="B26" s="1"/>
      <c r="C26" s="1"/>
      <c r="D26" s="1"/>
      <c r="E26" s="1"/>
      <c r="F26" s="1"/>
      <c r="G26" s="1"/>
      <c r="H26" s="1"/>
      <c r="I26" s="1"/>
      <c r="J26" s="1"/>
      <c r="K26" s="1"/>
      <c r="L26" s="1"/>
      <c r="M26" s="1"/>
      <c r="N26" s="1"/>
      <c r="O26" s="1"/>
      <c r="P26" s="1"/>
      <c r="Q26" s="1"/>
      <c r="R26" s="1"/>
      <c r="S26" s="1"/>
      <c r="T26" s="1"/>
      <c r="U26" s="9"/>
    </row>
    <row r="27" spans="1:28" ht="15.75" customHeight="1" x14ac:dyDescent="0.25">
      <c r="A27" s="1"/>
      <c r="B27" s="103" t="s">
        <v>20</v>
      </c>
      <c r="C27" s="103"/>
      <c r="D27" s="103"/>
      <c r="E27" s="103"/>
      <c r="F27" s="27"/>
      <c r="G27" s="1"/>
      <c r="H27" s="1"/>
      <c r="I27" s="1"/>
      <c r="J27" s="1"/>
      <c r="K27" s="1"/>
      <c r="L27" s="1"/>
      <c r="M27" s="1"/>
      <c r="N27" s="1"/>
      <c r="O27" s="1"/>
      <c r="P27" s="1"/>
      <c r="Q27" s="1"/>
      <c r="R27" s="1"/>
      <c r="S27" s="1"/>
      <c r="T27" s="1"/>
      <c r="U27" s="9"/>
    </row>
    <row r="28" spans="1:28" ht="16.5" x14ac:dyDescent="0.25">
      <c r="A28" s="1"/>
      <c r="B28" s="103"/>
      <c r="C28" s="103"/>
      <c r="D28" s="103"/>
      <c r="E28" s="103"/>
      <c r="F28" s="28"/>
      <c r="G28" s="1"/>
      <c r="H28" s="1"/>
      <c r="I28" s="1"/>
      <c r="J28" s="1"/>
      <c r="K28" s="1"/>
      <c r="L28" s="1"/>
      <c r="M28" s="1" t="s">
        <v>21</v>
      </c>
      <c r="N28" s="1"/>
      <c r="O28" s="1"/>
      <c r="P28" s="1"/>
      <c r="Q28" s="1"/>
      <c r="R28" s="1"/>
      <c r="S28" s="1"/>
      <c r="T28" s="1"/>
      <c r="U28" s="9"/>
    </row>
    <row r="29" spans="1:28" ht="15.75" x14ac:dyDescent="0.25">
      <c r="A29" s="1"/>
      <c r="B29" s="103"/>
      <c r="C29" s="103"/>
      <c r="D29" s="103"/>
      <c r="E29" s="103"/>
      <c r="F29" s="29"/>
      <c r="G29" s="1"/>
      <c r="H29" s="1"/>
      <c r="I29" s="1"/>
      <c r="J29" s="1"/>
      <c r="K29" s="1"/>
      <c r="L29" s="1"/>
      <c r="M29" s="1"/>
      <c r="N29" s="1"/>
      <c r="O29" s="1"/>
      <c r="P29" s="1"/>
      <c r="Q29" s="1"/>
      <c r="R29" s="1"/>
      <c r="S29" s="1"/>
      <c r="T29" s="1"/>
      <c r="U29" s="9"/>
    </row>
  </sheetData>
  <mergeCells count="22">
    <mergeCell ref="B27:E29"/>
    <mergeCell ref="T11:T12"/>
    <mergeCell ref="U11:U12"/>
    <mergeCell ref="A13:K13"/>
    <mergeCell ref="A15:B15"/>
    <mergeCell ref="E22:F22"/>
    <mergeCell ref="G11:G12"/>
    <mergeCell ref="H11:H12"/>
    <mergeCell ref="M11:S11"/>
    <mergeCell ref="A16:H16"/>
    <mergeCell ref="I11:L11"/>
    <mergeCell ref="A10:K10"/>
    <mergeCell ref="A11:A12"/>
    <mergeCell ref="B11:B12"/>
    <mergeCell ref="D11:D12"/>
    <mergeCell ref="E11:E12"/>
    <mergeCell ref="F11:F12"/>
    <mergeCell ref="A4:E4"/>
    <mergeCell ref="A5:E5"/>
    <mergeCell ref="A6:E6"/>
    <mergeCell ref="A7:E7"/>
    <mergeCell ref="A8:E8"/>
  </mergeCells>
  <pageMargins left="0" right="0" top="0" bottom="0" header="0" footer="0"/>
  <pageSetup paperSize="9" scale="46"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view="pageBreakPreview" zoomScale="85" zoomScaleNormal="85" zoomScaleSheetLayoutView="85" workbookViewId="0">
      <selection activeCell="D58" sqref="D58"/>
    </sheetView>
  </sheetViews>
  <sheetFormatPr defaultRowHeight="15" x14ac:dyDescent="0.25"/>
  <cols>
    <col min="1" max="1" width="11.140625" customWidth="1"/>
    <col min="2" max="2" width="80.42578125" customWidth="1"/>
    <col min="3" max="3" width="17.7109375" customWidth="1"/>
    <col min="4" max="4" width="19.42578125" customWidth="1"/>
    <col min="5" max="5" width="13.85546875" customWidth="1"/>
  </cols>
  <sheetData>
    <row r="1" spans="1:5" ht="30" customHeight="1" x14ac:dyDescent="0.25">
      <c r="A1" s="117" t="s">
        <v>22</v>
      </c>
      <c r="B1" s="117"/>
      <c r="C1" s="30"/>
    </row>
    <row r="2" spans="1:5" ht="12.75" customHeight="1" x14ac:dyDescent="0.25">
      <c r="A2" s="31"/>
      <c r="B2" s="31"/>
      <c r="C2" s="30"/>
    </row>
    <row r="3" spans="1:5" ht="67.5" customHeight="1" x14ac:dyDescent="0.25">
      <c r="A3" s="32" t="s">
        <v>23</v>
      </c>
      <c r="B3" s="75" t="s">
        <v>323</v>
      </c>
      <c r="C3" s="75" t="s">
        <v>324</v>
      </c>
      <c r="D3" s="75" t="s">
        <v>294</v>
      </c>
      <c r="E3" s="75" t="s">
        <v>295</v>
      </c>
    </row>
    <row r="4" spans="1:5" ht="22.5" customHeight="1" x14ac:dyDescent="0.25">
      <c r="A4" s="33"/>
      <c r="B4" s="32" t="s">
        <v>24</v>
      </c>
      <c r="C4" s="66"/>
      <c r="D4" s="76"/>
      <c r="E4" s="76"/>
    </row>
    <row r="5" spans="1:5" ht="26.1" customHeight="1" x14ac:dyDescent="0.25">
      <c r="A5" s="34">
        <v>1</v>
      </c>
      <c r="B5" s="52" t="s">
        <v>109</v>
      </c>
      <c r="C5" s="60">
        <v>12324.73</v>
      </c>
      <c r="D5" s="55">
        <v>27823.260000000002</v>
      </c>
      <c r="E5" s="55">
        <v>27823.260000000002</v>
      </c>
    </row>
    <row r="6" spans="1:5" ht="26.1" customHeight="1" x14ac:dyDescent="0.25">
      <c r="A6" s="34">
        <v>2</v>
      </c>
      <c r="B6" s="52" t="s">
        <v>192</v>
      </c>
      <c r="C6" s="60">
        <v>35496.35</v>
      </c>
      <c r="D6" s="55">
        <v>39040.47</v>
      </c>
      <c r="E6" s="55">
        <v>39040.47</v>
      </c>
    </row>
    <row r="7" spans="1:5" ht="26.1" customHeight="1" x14ac:dyDescent="0.25">
      <c r="A7" s="34">
        <v>3</v>
      </c>
      <c r="B7" s="52" t="s">
        <v>115</v>
      </c>
      <c r="C7" s="60">
        <v>21.36</v>
      </c>
      <c r="D7" s="55">
        <v>49289.71</v>
      </c>
      <c r="E7" s="55">
        <v>49289.71</v>
      </c>
    </row>
    <row r="8" spans="1:5" ht="26.1" customHeight="1" x14ac:dyDescent="0.25">
      <c r="A8" s="34">
        <v>4</v>
      </c>
      <c r="B8" s="52" t="s">
        <v>195</v>
      </c>
      <c r="C8" s="60">
        <v>55628.17</v>
      </c>
      <c r="D8" s="55">
        <v>69351.05</v>
      </c>
      <c r="E8" s="55">
        <v>69351.05</v>
      </c>
    </row>
    <row r="9" spans="1:5" ht="26.1" customHeight="1" x14ac:dyDescent="0.25">
      <c r="A9" s="34">
        <v>5</v>
      </c>
      <c r="B9" s="52" t="s">
        <v>197</v>
      </c>
      <c r="C9" s="60">
        <v>53798.41</v>
      </c>
      <c r="D9" s="55">
        <v>57295.039999999994</v>
      </c>
      <c r="E9" s="55">
        <v>57295.039999999994</v>
      </c>
    </row>
    <row r="10" spans="1:5" ht="26.1" customHeight="1" x14ac:dyDescent="0.25">
      <c r="A10" s="34">
        <v>6</v>
      </c>
      <c r="B10" s="52" t="s">
        <v>201</v>
      </c>
      <c r="C10" s="60">
        <v>74685.350000000006</v>
      </c>
      <c r="D10" s="55">
        <v>118892.29999999999</v>
      </c>
      <c r="E10" s="55">
        <v>118892.29999999999</v>
      </c>
    </row>
    <row r="11" spans="1:5" ht="26.1" customHeight="1" x14ac:dyDescent="0.25">
      <c r="A11" s="34">
        <v>7</v>
      </c>
      <c r="B11" s="52" t="s">
        <v>116</v>
      </c>
      <c r="C11" s="60">
        <v>44985.45</v>
      </c>
      <c r="D11" s="55">
        <v>70438.97</v>
      </c>
      <c r="E11" s="55">
        <v>70438.97</v>
      </c>
    </row>
    <row r="12" spans="1:5" ht="26.1" customHeight="1" x14ac:dyDescent="0.25">
      <c r="A12" s="34">
        <v>8</v>
      </c>
      <c r="B12" s="52" t="s">
        <v>117</v>
      </c>
      <c r="C12" s="60">
        <v>33785.81</v>
      </c>
      <c r="D12" s="55">
        <v>61239.76</v>
      </c>
      <c r="E12" s="55">
        <v>61239.76</v>
      </c>
    </row>
    <row r="13" spans="1:5" ht="26.1" customHeight="1" x14ac:dyDescent="0.25">
      <c r="A13" s="34">
        <v>9</v>
      </c>
      <c r="B13" s="52" t="s">
        <v>118</v>
      </c>
      <c r="C13" s="60">
        <v>53508.479999999996</v>
      </c>
      <c r="D13" s="55">
        <v>100771.81999999999</v>
      </c>
      <c r="E13" s="55">
        <v>100771.81999999999</v>
      </c>
    </row>
    <row r="14" spans="1:5" ht="26.1" customHeight="1" x14ac:dyDescent="0.25">
      <c r="A14" s="34">
        <v>10</v>
      </c>
      <c r="B14" s="52" t="s">
        <v>119</v>
      </c>
      <c r="C14" s="60">
        <v>210944.99000000002</v>
      </c>
      <c r="D14" s="55">
        <v>214188.15</v>
      </c>
      <c r="E14" s="55">
        <v>214188.15</v>
      </c>
    </row>
    <row r="15" spans="1:5" ht="26.1" customHeight="1" x14ac:dyDescent="0.25">
      <c r="A15" s="34">
        <v>11</v>
      </c>
      <c r="B15" s="52" t="s">
        <v>120</v>
      </c>
      <c r="C15" s="60">
        <v>1461028.76</v>
      </c>
      <c r="D15" s="55">
        <v>1771880.67</v>
      </c>
      <c r="E15" s="55">
        <v>1771880.67</v>
      </c>
    </row>
    <row r="16" spans="1:5" ht="26.1" customHeight="1" x14ac:dyDescent="0.25">
      <c r="A16" s="34">
        <v>12</v>
      </c>
      <c r="B16" s="52" t="s">
        <v>121</v>
      </c>
      <c r="C16" s="60">
        <v>87443.09</v>
      </c>
      <c r="D16" s="55">
        <v>120324.19</v>
      </c>
      <c r="E16" s="55">
        <v>120324.19</v>
      </c>
    </row>
    <row r="17" spans="1:5" ht="26.1" customHeight="1" x14ac:dyDescent="0.25">
      <c r="A17" s="34">
        <v>13</v>
      </c>
      <c r="B17" s="52" t="s">
        <v>122</v>
      </c>
      <c r="C17" s="60">
        <v>12763.21</v>
      </c>
      <c r="D17" s="55">
        <v>39992.15</v>
      </c>
      <c r="E17" s="55">
        <v>39992.15</v>
      </c>
    </row>
    <row r="18" spans="1:5" ht="26.1" customHeight="1" x14ac:dyDescent="0.25">
      <c r="A18" s="34">
        <v>14</v>
      </c>
      <c r="B18" s="52" t="s">
        <v>123</v>
      </c>
      <c r="C18" s="60">
        <v>14446.509999999998</v>
      </c>
      <c r="D18" s="55">
        <v>58973.21</v>
      </c>
      <c r="E18" s="55">
        <v>58973.21</v>
      </c>
    </row>
    <row r="19" spans="1:5" ht="26.1" customHeight="1" x14ac:dyDescent="0.25">
      <c r="A19" s="34">
        <v>15</v>
      </c>
      <c r="B19" s="52" t="s">
        <v>124</v>
      </c>
      <c r="C19" s="60">
        <v>11652.33</v>
      </c>
      <c r="D19" s="55">
        <v>16767.54</v>
      </c>
      <c r="E19" s="55">
        <v>16767.54</v>
      </c>
    </row>
    <row r="20" spans="1:5" ht="26.1" customHeight="1" x14ac:dyDescent="0.25">
      <c r="A20" s="34">
        <v>16</v>
      </c>
      <c r="B20" s="52" t="s">
        <v>125</v>
      </c>
      <c r="C20" s="60">
        <v>9771.0299999999988</v>
      </c>
      <c r="D20" s="55">
        <v>48042.69</v>
      </c>
      <c r="E20" s="55">
        <v>48042.69</v>
      </c>
    </row>
    <row r="21" spans="1:5" ht="26.1" customHeight="1" x14ac:dyDescent="0.25">
      <c r="A21" s="34">
        <v>17</v>
      </c>
      <c r="B21" s="52" t="s">
        <v>223</v>
      </c>
      <c r="C21" s="60">
        <v>13043.56</v>
      </c>
      <c r="D21" s="55">
        <v>45035.840000000004</v>
      </c>
      <c r="E21" s="55">
        <v>45035.840000000004</v>
      </c>
    </row>
    <row r="22" spans="1:5" ht="26.1" customHeight="1" x14ac:dyDescent="0.25">
      <c r="A22" s="34">
        <v>18</v>
      </c>
      <c r="B22" s="52" t="s">
        <v>126</v>
      </c>
      <c r="C22" s="60">
        <v>92636.84</v>
      </c>
      <c r="D22" s="55">
        <v>111003</v>
      </c>
      <c r="E22" s="55">
        <v>111003</v>
      </c>
    </row>
    <row r="23" spans="1:5" ht="26.1" customHeight="1" x14ac:dyDescent="0.25">
      <c r="A23" s="34">
        <v>19</v>
      </c>
      <c r="B23" s="52" t="s">
        <v>229</v>
      </c>
      <c r="C23" s="60">
        <v>563534.17999999993</v>
      </c>
      <c r="D23" s="55">
        <v>482493.37</v>
      </c>
      <c r="E23" s="55">
        <v>563534.17999999993</v>
      </c>
    </row>
    <row r="24" spans="1:5" ht="33.75" customHeight="1" x14ac:dyDescent="0.25">
      <c r="A24" s="34">
        <v>20</v>
      </c>
      <c r="B24" s="52" t="s">
        <v>325</v>
      </c>
      <c r="C24" s="60">
        <v>52582.52</v>
      </c>
      <c r="D24" s="55">
        <v>66398.720000000001</v>
      </c>
      <c r="E24" s="55">
        <v>66398.720000000001</v>
      </c>
    </row>
    <row r="25" spans="1:5" ht="26.1" customHeight="1" x14ac:dyDescent="0.25">
      <c r="A25" s="34">
        <v>21</v>
      </c>
      <c r="B25" s="52" t="s">
        <v>127</v>
      </c>
      <c r="C25" s="60">
        <v>354621.04</v>
      </c>
      <c r="D25" s="55">
        <v>309725.06</v>
      </c>
      <c r="E25" s="55">
        <v>309725.06</v>
      </c>
    </row>
    <row r="26" spans="1:5" ht="26.1" customHeight="1" x14ac:dyDescent="0.25">
      <c r="A26" s="34">
        <v>22</v>
      </c>
      <c r="B26" s="52" t="s">
        <v>238</v>
      </c>
      <c r="C26" s="60">
        <v>6430.5</v>
      </c>
      <c r="D26" s="55">
        <v>57007.64</v>
      </c>
      <c r="E26" s="55">
        <v>57007.64</v>
      </c>
    </row>
    <row r="27" spans="1:5" ht="26.1" customHeight="1" x14ac:dyDescent="0.25">
      <c r="A27" s="34">
        <v>23</v>
      </c>
      <c r="B27" s="52" t="s">
        <v>110</v>
      </c>
      <c r="C27" s="60">
        <v>5944.72</v>
      </c>
      <c r="D27" s="55">
        <v>39322.83</v>
      </c>
      <c r="E27" s="55">
        <v>39322.83</v>
      </c>
    </row>
    <row r="28" spans="1:5" ht="26.1" customHeight="1" x14ac:dyDescent="0.25">
      <c r="A28" s="34">
        <v>24</v>
      </c>
      <c r="B28" s="52" t="s">
        <v>128</v>
      </c>
      <c r="C28" s="60">
        <v>503970.08999999997</v>
      </c>
      <c r="D28" s="55">
        <v>717047.01</v>
      </c>
      <c r="E28" s="55">
        <v>717047.01</v>
      </c>
    </row>
    <row r="29" spans="1:5" ht="26.1" customHeight="1" x14ac:dyDescent="0.25">
      <c r="A29" s="34">
        <v>25</v>
      </c>
      <c r="B29" s="52" t="s">
        <v>129</v>
      </c>
      <c r="C29" s="60">
        <v>69868.639999999999</v>
      </c>
      <c r="D29" s="55">
        <v>35798.28</v>
      </c>
      <c r="E29" s="55">
        <v>69868.639999999999</v>
      </c>
    </row>
    <row r="30" spans="1:5" ht="26.1" customHeight="1" x14ac:dyDescent="0.25">
      <c r="A30" s="34">
        <v>26</v>
      </c>
      <c r="B30" s="52" t="s">
        <v>130</v>
      </c>
      <c r="C30" s="60">
        <v>4608.2800000000007</v>
      </c>
      <c r="D30" s="55">
        <v>26587.439999999999</v>
      </c>
      <c r="E30" s="55">
        <v>26587.439999999999</v>
      </c>
    </row>
    <row r="31" spans="1:5" ht="26.1" customHeight="1" x14ac:dyDescent="0.25">
      <c r="A31" s="34">
        <v>27</v>
      </c>
      <c r="B31" s="52" t="s">
        <v>131</v>
      </c>
      <c r="C31" s="60">
        <v>86329.35</v>
      </c>
      <c r="D31" s="55">
        <v>135671.16</v>
      </c>
      <c r="E31" s="55">
        <v>135671.16</v>
      </c>
    </row>
    <row r="32" spans="1:5" ht="26.1" customHeight="1" x14ac:dyDescent="0.25">
      <c r="A32" s="34">
        <v>28</v>
      </c>
      <c r="B32" s="52" t="s">
        <v>132</v>
      </c>
      <c r="C32" s="60">
        <v>1239.22</v>
      </c>
      <c r="D32" s="55">
        <v>2007.83</v>
      </c>
      <c r="E32" s="55">
        <v>2007.83</v>
      </c>
    </row>
    <row r="33" spans="1:5" ht="26.1" customHeight="1" x14ac:dyDescent="0.25">
      <c r="A33" s="34">
        <v>29</v>
      </c>
      <c r="B33" s="52" t="s">
        <v>111</v>
      </c>
      <c r="C33" s="60">
        <v>3431.54</v>
      </c>
      <c r="D33" s="55">
        <v>15518.78</v>
      </c>
      <c r="E33" s="55">
        <v>15518.78</v>
      </c>
    </row>
    <row r="34" spans="1:5" ht="26.1" customHeight="1" x14ac:dyDescent="0.25">
      <c r="A34" s="34">
        <v>30</v>
      </c>
      <c r="B34" s="52" t="s">
        <v>133</v>
      </c>
      <c r="C34" s="60">
        <v>15435.08</v>
      </c>
      <c r="D34" s="55">
        <v>29167.989999999991</v>
      </c>
      <c r="E34" s="55">
        <v>29167.989999999991</v>
      </c>
    </row>
    <row r="35" spans="1:5" ht="26.1" customHeight="1" x14ac:dyDescent="0.25">
      <c r="A35" s="34">
        <v>31</v>
      </c>
      <c r="B35" s="52" t="s">
        <v>134</v>
      </c>
      <c r="C35" s="60">
        <v>96517.4</v>
      </c>
      <c r="D35" s="55">
        <v>52758.89</v>
      </c>
      <c r="E35" s="55">
        <v>96517.4</v>
      </c>
    </row>
    <row r="36" spans="1:5" ht="26.1" customHeight="1" x14ac:dyDescent="0.25">
      <c r="A36" s="34">
        <v>32</v>
      </c>
      <c r="B36" s="52" t="s">
        <v>135</v>
      </c>
      <c r="C36" s="60">
        <v>41135.83</v>
      </c>
      <c r="D36" s="55">
        <v>137781.63</v>
      </c>
      <c r="E36" s="55">
        <v>137781.63</v>
      </c>
    </row>
    <row r="37" spans="1:5" ht="26.1" customHeight="1" x14ac:dyDescent="0.25">
      <c r="A37" s="34">
        <v>33</v>
      </c>
      <c r="B37" s="52" t="s">
        <v>112</v>
      </c>
      <c r="C37" s="60">
        <v>34189.019999999997</v>
      </c>
      <c r="D37" s="55">
        <v>45226.789999999994</v>
      </c>
      <c r="E37" s="55">
        <v>45226.789999999994</v>
      </c>
    </row>
    <row r="38" spans="1:5" ht="26.1" customHeight="1" x14ac:dyDescent="0.25">
      <c r="A38" s="34">
        <v>34</v>
      </c>
      <c r="B38" s="52" t="s">
        <v>113</v>
      </c>
      <c r="C38" s="60">
        <v>13272.92</v>
      </c>
      <c r="D38" s="55">
        <v>44551.59</v>
      </c>
      <c r="E38" s="55">
        <v>44551.59</v>
      </c>
    </row>
    <row r="39" spans="1:5" ht="26.1" customHeight="1" x14ac:dyDescent="0.25">
      <c r="A39" s="34">
        <v>35</v>
      </c>
      <c r="B39" s="52" t="s">
        <v>136</v>
      </c>
      <c r="C39" s="60">
        <v>51635.360000000001</v>
      </c>
      <c r="D39" s="55">
        <v>104389.85</v>
      </c>
      <c r="E39" s="55">
        <v>104389.85</v>
      </c>
    </row>
    <row r="40" spans="1:5" ht="26.1" customHeight="1" x14ac:dyDescent="0.25">
      <c r="A40" s="34">
        <v>36</v>
      </c>
      <c r="B40" s="52" t="s">
        <v>137</v>
      </c>
      <c r="C40" s="60">
        <v>15373.91</v>
      </c>
      <c r="D40" s="55">
        <v>17468.96</v>
      </c>
      <c r="E40" s="55">
        <v>17468.96</v>
      </c>
    </row>
    <row r="41" spans="1:5" ht="26.1" customHeight="1" x14ac:dyDescent="0.25">
      <c r="A41" s="34">
        <v>37</v>
      </c>
      <c r="B41" s="52" t="s">
        <v>138</v>
      </c>
      <c r="C41" s="60">
        <v>40472.07</v>
      </c>
      <c r="D41" s="55">
        <v>35552.68</v>
      </c>
      <c r="E41" s="55">
        <v>35552.68</v>
      </c>
    </row>
    <row r="42" spans="1:5" ht="26.1" customHeight="1" x14ac:dyDescent="0.25">
      <c r="A42" s="34">
        <v>38</v>
      </c>
      <c r="B42" s="52" t="s">
        <v>139</v>
      </c>
      <c r="C42" s="60">
        <v>5460.51</v>
      </c>
      <c r="D42" s="55">
        <v>7642.53</v>
      </c>
      <c r="E42" s="55">
        <v>7642.53</v>
      </c>
    </row>
    <row r="43" spans="1:5" ht="26.1" customHeight="1" x14ac:dyDescent="0.25">
      <c r="A43" s="34">
        <v>39</v>
      </c>
      <c r="B43" s="52" t="s">
        <v>114</v>
      </c>
      <c r="C43" s="60">
        <v>214795.13999999998</v>
      </c>
      <c r="D43" s="55">
        <v>232560.23</v>
      </c>
      <c r="E43" s="55">
        <v>232560.23</v>
      </c>
    </row>
    <row r="44" spans="1:5" ht="26.1" customHeight="1" x14ac:dyDescent="0.25">
      <c r="A44" s="34">
        <v>40</v>
      </c>
      <c r="B44" s="52" t="s">
        <v>140</v>
      </c>
      <c r="C44" s="60">
        <v>100471.41</v>
      </c>
      <c r="D44" s="55">
        <v>136427.75999999998</v>
      </c>
      <c r="E44" s="55">
        <v>136427.75999999998</v>
      </c>
    </row>
    <row r="45" spans="1:5" ht="26.1" customHeight="1" x14ac:dyDescent="0.25">
      <c r="A45" s="34">
        <v>41</v>
      </c>
      <c r="B45" s="52" t="s">
        <v>141</v>
      </c>
      <c r="C45" s="60">
        <v>84406.25</v>
      </c>
      <c r="D45" s="55">
        <v>100115.48</v>
      </c>
      <c r="E45" s="55">
        <v>100115.48</v>
      </c>
    </row>
    <row r="46" spans="1:5" ht="26.1" customHeight="1" x14ac:dyDescent="0.25">
      <c r="A46" s="34">
        <v>42</v>
      </c>
      <c r="B46" s="52" t="s">
        <v>142</v>
      </c>
      <c r="C46" s="60">
        <v>57903.39</v>
      </c>
      <c r="D46" s="55">
        <v>73065.88</v>
      </c>
      <c r="E46" s="55">
        <v>73065.88</v>
      </c>
    </row>
    <row r="47" spans="1:5" ht="26.1" customHeight="1" x14ac:dyDescent="0.25">
      <c r="A47" s="34">
        <v>43</v>
      </c>
      <c r="B47" s="52" t="s">
        <v>143</v>
      </c>
      <c r="C47" s="60">
        <v>6906.95</v>
      </c>
      <c r="D47" s="55">
        <v>42293.93</v>
      </c>
      <c r="E47" s="55">
        <v>42293.93</v>
      </c>
    </row>
    <row r="48" spans="1:5" ht="26.1" customHeight="1" x14ac:dyDescent="0.25">
      <c r="A48" s="34">
        <v>44</v>
      </c>
      <c r="B48" s="52" t="s">
        <v>274</v>
      </c>
      <c r="C48" s="60">
        <v>3411.76</v>
      </c>
      <c r="D48" s="55">
        <v>6064.07</v>
      </c>
      <c r="E48" s="55">
        <v>6064.07</v>
      </c>
    </row>
    <row r="49" spans="1:5" ht="26.1" customHeight="1" x14ac:dyDescent="0.25">
      <c r="A49" s="34">
        <v>45</v>
      </c>
      <c r="B49" s="52" t="s">
        <v>144</v>
      </c>
      <c r="C49" s="60">
        <v>54482.71</v>
      </c>
      <c r="D49" s="55">
        <v>779.54999999999927</v>
      </c>
      <c r="E49" s="55">
        <v>54482.71</v>
      </c>
    </row>
    <row r="50" spans="1:5" ht="26.1" customHeight="1" x14ac:dyDescent="0.25">
      <c r="A50" s="34">
        <v>46</v>
      </c>
      <c r="B50" s="52" t="s">
        <v>145</v>
      </c>
      <c r="C50" s="60">
        <v>86320.13</v>
      </c>
      <c r="D50" s="55">
        <v>97629.7</v>
      </c>
      <c r="E50" s="55">
        <v>97629.7</v>
      </c>
    </row>
    <row r="51" spans="1:5" ht="26.1" customHeight="1" x14ac:dyDescent="0.25">
      <c r="A51" s="34">
        <v>47</v>
      </c>
      <c r="B51" s="52" t="s">
        <v>146</v>
      </c>
      <c r="C51" s="60">
        <v>102466.82</v>
      </c>
      <c r="D51" s="55">
        <v>135265.63</v>
      </c>
      <c r="E51" s="55">
        <v>135265.63</v>
      </c>
    </row>
    <row r="52" spans="1:5" x14ac:dyDescent="0.25">
      <c r="A52" s="118" t="s">
        <v>19</v>
      </c>
      <c r="B52" s="119"/>
      <c r="C52" s="67">
        <f>SUM(C5:C51)</f>
        <v>4955181.169999999</v>
      </c>
      <c r="D52" s="67">
        <f>SUM(D5:D51)</f>
        <v>6206671.080000001</v>
      </c>
      <c r="E52" s="67">
        <f>SUM(E5:E51)</f>
        <v>6419243.9200000009</v>
      </c>
    </row>
  </sheetData>
  <mergeCells count="2">
    <mergeCell ref="A1:B1"/>
    <mergeCell ref="A52:B52"/>
  </mergeCells>
  <pageMargins left="0.7" right="0.7" top="0.75" bottom="0.75" header="0.3" footer="0.3"/>
  <pageSetup paperSize="9" scale="60"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0"/>
  <sheetViews>
    <sheetView tabSelected="1" view="pageBreakPreview" topLeftCell="A43" zoomScale="85" zoomScaleNormal="85" zoomScaleSheetLayoutView="85" workbookViewId="0">
      <selection activeCell="A3" sqref="A3"/>
    </sheetView>
  </sheetViews>
  <sheetFormatPr defaultRowHeight="15" x14ac:dyDescent="0.25"/>
  <cols>
    <col min="1" max="1" width="11.140625" customWidth="1"/>
    <col min="2" max="2" width="80.42578125" customWidth="1"/>
    <col min="3" max="3" width="24.85546875" customWidth="1"/>
    <col min="4" max="4" width="17.7109375" customWidth="1"/>
    <col min="5" max="5" width="19.42578125" customWidth="1"/>
    <col min="6" max="6" width="13.85546875" customWidth="1"/>
  </cols>
  <sheetData>
    <row r="1" spans="1:6" ht="30" customHeight="1" x14ac:dyDescent="0.25">
      <c r="A1" s="117" t="s">
        <v>327</v>
      </c>
      <c r="B1" s="117"/>
      <c r="C1" s="91"/>
      <c r="D1" s="30"/>
    </row>
    <row r="2" spans="1:6" ht="12.75" customHeight="1" x14ac:dyDescent="0.25">
      <c r="A2" s="31"/>
      <c r="B2" s="31"/>
      <c r="C2" s="31"/>
      <c r="D2" s="30"/>
    </row>
    <row r="3" spans="1:6" ht="67.5" customHeight="1" x14ac:dyDescent="0.25">
      <c r="A3" s="32" t="s">
        <v>330</v>
      </c>
      <c r="B3" s="75" t="s">
        <v>328</v>
      </c>
      <c r="C3" s="75" t="s">
        <v>329</v>
      </c>
      <c r="D3" s="75" t="s">
        <v>314</v>
      </c>
      <c r="E3" s="75" t="s">
        <v>294</v>
      </c>
      <c r="F3" s="75" t="s">
        <v>295</v>
      </c>
    </row>
    <row r="4" spans="1:6" ht="22.5" customHeight="1" x14ac:dyDescent="0.25">
      <c r="A4" s="33"/>
      <c r="B4" s="32" t="s">
        <v>24</v>
      </c>
      <c r="C4" s="32"/>
      <c r="D4" s="66"/>
      <c r="E4" s="76"/>
      <c r="F4" s="76"/>
    </row>
    <row r="5" spans="1:6" ht="26.1" customHeight="1" x14ac:dyDescent="0.25">
      <c r="A5" s="34">
        <v>1</v>
      </c>
      <c r="B5" s="52" t="s">
        <v>109</v>
      </c>
      <c r="C5" s="52" t="s">
        <v>38</v>
      </c>
      <c r="D5" s="60">
        <f>'Лот № 1 расшифровка для ЮД'!L5</f>
        <v>12324.73</v>
      </c>
      <c r="E5" s="55">
        <f>'Лот № 1 расшифровка для ЮД'!Q5</f>
        <v>27823.260000000002</v>
      </c>
      <c r="F5" s="55">
        <f>'Лот № 1 расшифровка для ЮД'!R5</f>
        <v>27823.260000000002</v>
      </c>
    </row>
    <row r="6" spans="1:6" ht="26.1" customHeight="1" x14ac:dyDescent="0.25">
      <c r="A6" s="34">
        <v>2</v>
      </c>
      <c r="B6" s="52" t="s">
        <v>192</v>
      </c>
      <c r="C6" s="52" t="s">
        <v>38</v>
      </c>
      <c r="D6" s="60">
        <f>'Лот № 1 расшифровка для ЮД'!L6</f>
        <v>35496.35</v>
      </c>
      <c r="E6" s="55">
        <f>'Лот № 1 расшифровка для ЮД'!Q6</f>
        <v>39040.47</v>
      </c>
      <c r="F6" s="55">
        <f>'Лот № 1 расшифровка для ЮД'!R6</f>
        <v>39040.47</v>
      </c>
    </row>
    <row r="7" spans="1:6" ht="26.1" customHeight="1" x14ac:dyDescent="0.25">
      <c r="A7" s="34">
        <v>3</v>
      </c>
      <c r="B7" s="52" t="s">
        <v>115</v>
      </c>
      <c r="C7" s="52" t="s">
        <v>38</v>
      </c>
      <c r="D7" s="60">
        <f>'Лот № 1 расшифровка для ЮД'!L7</f>
        <v>21.36</v>
      </c>
      <c r="E7" s="55">
        <f>'Лот № 1 расшифровка для ЮД'!Q7</f>
        <v>49289.71</v>
      </c>
      <c r="F7" s="55">
        <f>'Лот № 1 расшифровка для ЮД'!R7</f>
        <v>49289.71</v>
      </c>
    </row>
    <row r="8" spans="1:6" ht="26.1" customHeight="1" x14ac:dyDescent="0.25">
      <c r="A8" s="34">
        <v>4</v>
      </c>
      <c r="B8" s="52" t="s">
        <v>195</v>
      </c>
      <c r="C8" s="52" t="s">
        <v>38</v>
      </c>
      <c r="D8" s="60">
        <f>'Лот № 1 расшифровка для ЮД'!L8</f>
        <v>55628.17</v>
      </c>
      <c r="E8" s="55">
        <f>'Лот № 1 расшифровка для ЮД'!Q8</f>
        <v>69351.05</v>
      </c>
      <c r="F8" s="55">
        <f>'Лот № 1 расшифровка для ЮД'!R8</f>
        <v>69351.05</v>
      </c>
    </row>
    <row r="9" spans="1:6" ht="26.1" customHeight="1" x14ac:dyDescent="0.25">
      <c r="A9" s="34">
        <v>5</v>
      </c>
      <c r="B9" s="52" t="s">
        <v>197</v>
      </c>
      <c r="C9" s="52" t="s">
        <v>38</v>
      </c>
      <c r="D9" s="60">
        <f>'Лот № 1 расшифровка для ЮД'!L9</f>
        <v>53798.41</v>
      </c>
      <c r="E9" s="55">
        <f>'Лот № 1 расшифровка для ЮД'!Q9</f>
        <v>57295.039999999994</v>
      </c>
      <c r="F9" s="55">
        <f>'Лот № 1 расшифровка для ЮД'!R9</f>
        <v>57295.039999999994</v>
      </c>
    </row>
    <row r="10" spans="1:6" ht="26.1" customHeight="1" x14ac:dyDescent="0.25">
      <c r="A10" s="34">
        <v>6</v>
      </c>
      <c r="B10" s="52" t="s">
        <v>201</v>
      </c>
      <c r="C10" s="52" t="s">
        <v>38</v>
      </c>
      <c r="D10" s="60">
        <f>'Лот № 1 расшифровка для ЮД'!L10</f>
        <v>48750.95</v>
      </c>
      <c r="E10" s="55">
        <f>'Лот № 1 расшифровка для ЮД'!Q10</f>
        <v>92957.9</v>
      </c>
      <c r="F10" s="55">
        <f>'Лот № 1 расшифровка для ЮД'!R10</f>
        <v>92957.9</v>
      </c>
    </row>
    <row r="11" spans="1:6" ht="26.1" customHeight="1" x14ac:dyDescent="0.25">
      <c r="A11" s="34">
        <v>7</v>
      </c>
      <c r="B11" s="52" t="s">
        <v>116</v>
      </c>
      <c r="C11" s="52" t="s">
        <v>38</v>
      </c>
      <c r="D11" s="60">
        <f>'Лот № 1 расшифровка для ЮД'!L11</f>
        <v>44985.45</v>
      </c>
      <c r="E11" s="55">
        <f>'Лот № 1 расшифровка для ЮД'!Q11</f>
        <v>70438.97</v>
      </c>
      <c r="F11" s="55">
        <f>'Лот № 1 расшифровка для ЮД'!R11</f>
        <v>70438.97</v>
      </c>
    </row>
    <row r="12" spans="1:6" ht="26.1" customHeight="1" x14ac:dyDescent="0.25">
      <c r="A12" s="34">
        <v>8</v>
      </c>
      <c r="B12" s="52" t="s">
        <v>117</v>
      </c>
      <c r="C12" s="52" t="s">
        <v>38</v>
      </c>
      <c r="D12" s="60">
        <f>'Лот № 1 расшифровка для ЮД'!L12</f>
        <v>33785.81</v>
      </c>
      <c r="E12" s="55">
        <f>'Лот № 1 расшифровка для ЮД'!Q12</f>
        <v>61239.76</v>
      </c>
      <c r="F12" s="55">
        <f>'Лот № 1 расшифровка для ЮД'!R12</f>
        <v>61239.76</v>
      </c>
    </row>
    <row r="13" spans="1:6" ht="26.1" customHeight="1" x14ac:dyDescent="0.25">
      <c r="A13" s="34">
        <v>9</v>
      </c>
      <c r="B13" s="52" t="s">
        <v>118</v>
      </c>
      <c r="C13" s="52" t="s">
        <v>38</v>
      </c>
      <c r="D13" s="60">
        <f>'Лот № 1 расшифровка для ЮД'!L13</f>
        <v>52416.51</v>
      </c>
      <c r="E13" s="55">
        <f>'Лот № 1 расшифровка для ЮД'!Q13</f>
        <v>99679.849999999991</v>
      </c>
      <c r="F13" s="55">
        <f>'Лот № 1 расшифровка для ЮД'!R13</f>
        <v>99679.849999999991</v>
      </c>
    </row>
    <row r="14" spans="1:6" ht="26.1" customHeight="1" x14ac:dyDescent="0.25">
      <c r="A14" s="34">
        <v>10</v>
      </c>
      <c r="B14" s="52" t="s">
        <v>119</v>
      </c>
      <c r="C14" s="52" t="s">
        <v>38</v>
      </c>
      <c r="D14" s="60">
        <f>'Лот № 1 расшифровка для ЮД'!L14</f>
        <v>198572.32</v>
      </c>
      <c r="E14" s="55">
        <f>'Лот № 1 расшифровка для ЮД'!Q14</f>
        <v>199157.83</v>
      </c>
      <c r="F14" s="55">
        <f>'Лот № 1 расшифровка для ЮД'!R14</f>
        <v>199157.83</v>
      </c>
    </row>
    <row r="15" spans="1:6" ht="26.1" customHeight="1" x14ac:dyDescent="0.25">
      <c r="A15" s="34">
        <v>11</v>
      </c>
      <c r="B15" s="52" t="s">
        <v>120</v>
      </c>
      <c r="C15" s="52" t="s">
        <v>38</v>
      </c>
      <c r="D15" s="60">
        <f>'Лот № 1 расшифровка для ЮД'!L15</f>
        <v>1461028.76</v>
      </c>
      <c r="E15" s="55">
        <f>'Лот № 1 расшифровка для ЮД'!Q15</f>
        <v>1771880.67</v>
      </c>
      <c r="F15" s="55">
        <f>'Лот № 1 расшифровка для ЮД'!R15</f>
        <v>1771880.67</v>
      </c>
    </row>
    <row r="16" spans="1:6" ht="26.1" customHeight="1" x14ac:dyDescent="0.25">
      <c r="A16" s="34">
        <v>12</v>
      </c>
      <c r="B16" s="52" t="s">
        <v>121</v>
      </c>
      <c r="C16" s="52" t="s">
        <v>38</v>
      </c>
      <c r="D16" s="60">
        <f>'Лот № 1 расшифровка для ЮД'!L16</f>
        <v>87443.09</v>
      </c>
      <c r="E16" s="55">
        <f>'Лот № 1 расшифровка для ЮД'!Q16</f>
        <v>120324.19</v>
      </c>
      <c r="F16" s="55">
        <f>'Лот № 1 расшифровка для ЮД'!R16</f>
        <v>120324.19</v>
      </c>
    </row>
    <row r="17" spans="1:6" ht="26.1" customHeight="1" x14ac:dyDescent="0.25">
      <c r="A17" s="34">
        <v>13</v>
      </c>
      <c r="B17" s="52" t="s">
        <v>122</v>
      </c>
      <c r="C17" s="52" t="s">
        <v>38</v>
      </c>
      <c r="D17" s="60">
        <f>'Лот № 1 расшифровка для ЮД'!L17</f>
        <v>12763.21</v>
      </c>
      <c r="E17" s="55">
        <f>'Лот № 1 расшифровка для ЮД'!Q17</f>
        <v>39992.15</v>
      </c>
      <c r="F17" s="55">
        <f>'Лот № 1 расшифровка для ЮД'!R17</f>
        <v>39992.15</v>
      </c>
    </row>
    <row r="18" spans="1:6" ht="26.1" customHeight="1" x14ac:dyDescent="0.25">
      <c r="A18" s="34">
        <v>14</v>
      </c>
      <c r="B18" s="52" t="s">
        <v>123</v>
      </c>
      <c r="C18" s="52" t="s">
        <v>38</v>
      </c>
      <c r="D18" s="60">
        <f>'Лот № 1 расшифровка для ЮД'!L18</f>
        <v>14446.509999999998</v>
      </c>
      <c r="E18" s="55">
        <f>'Лот № 1 расшифровка для ЮД'!Q18</f>
        <v>58973.21</v>
      </c>
      <c r="F18" s="55">
        <f>'Лот № 1 расшифровка для ЮД'!R18</f>
        <v>58973.21</v>
      </c>
    </row>
    <row r="19" spans="1:6" ht="26.1" customHeight="1" x14ac:dyDescent="0.25">
      <c r="A19" s="34">
        <v>15</v>
      </c>
      <c r="B19" s="52" t="s">
        <v>124</v>
      </c>
      <c r="C19" s="52" t="s">
        <v>38</v>
      </c>
      <c r="D19" s="60">
        <f>'Лот № 1 расшифровка для ЮД'!L19</f>
        <v>11652.33</v>
      </c>
      <c r="E19" s="55">
        <f>'Лот № 1 расшифровка для ЮД'!Q19</f>
        <v>16767.54</v>
      </c>
      <c r="F19" s="55">
        <f>'Лот № 1 расшифровка для ЮД'!R19</f>
        <v>16767.54</v>
      </c>
    </row>
    <row r="20" spans="1:6" ht="26.1" customHeight="1" x14ac:dyDescent="0.25">
      <c r="A20" s="34">
        <v>16</v>
      </c>
      <c r="B20" s="52" t="s">
        <v>125</v>
      </c>
      <c r="C20" s="52" t="s">
        <v>38</v>
      </c>
      <c r="D20" s="60">
        <f>'Лот № 1 расшифровка для ЮД'!L20</f>
        <v>9771.0299999999988</v>
      </c>
      <c r="E20" s="55">
        <f>'Лот № 1 расшифровка для ЮД'!Q20</f>
        <v>48042.69</v>
      </c>
      <c r="F20" s="55">
        <f>'Лот № 1 расшифровка для ЮД'!R20</f>
        <v>48042.69</v>
      </c>
    </row>
    <row r="21" spans="1:6" ht="26.1" customHeight="1" x14ac:dyDescent="0.25">
      <c r="A21" s="34">
        <v>17</v>
      </c>
      <c r="B21" s="52" t="s">
        <v>223</v>
      </c>
      <c r="C21" s="52" t="s">
        <v>38</v>
      </c>
      <c r="D21" s="60">
        <f>'Лот № 1 расшифровка для ЮД'!L21</f>
        <v>13043.56</v>
      </c>
      <c r="E21" s="55">
        <f>'Лот № 1 расшифровка для ЮД'!Q21</f>
        <v>45035.840000000004</v>
      </c>
      <c r="F21" s="55">
        <f>'Лот № 1 расшифровка для ЮД'!R21</f>
        <v>45035.840000000004</v>
      </c>
    </row>
    <row r="22" spans="1:6" ht="26.1" customHeight="1" x14ac:dyDescent="0.25">
      <c r="A22" s="34">
        <v>18</v>
      </c>
      <c r="B22" s="52" t="s">
        <v>126</v>
      </c>
      <c r="C22" s="52" t="s">
        <v>38</v>
      </c>
      <c r="D22" s="60">
        <f>'Лот № 1 расшифровка для ЮД'!L22</f>
        <v>58798.2</v>
      </c>
      <c r="E22" s="55">
        <f>'Лот № 1 расшифровка для ЮД'!Q22</f>
        <v>77164.359999999986</v>
      </c>
      <c r="F22" s="55">
        <f>'Лот № 1 расшифровка для ЮД'!R22</f>
        <v>77164.359999999986</v>
      </c>
    </row>
    <row r="23" spans="1:6" ht="26.1" customHeight="1" x14ac:dyDescent="0.25">
      <c r="A23" s="34">
        <v>19</v>
      </c>
      <c r="B23" s="52" t="s">
        <v>229</v>
      </c>
      <c r="C23" s="52" t="s">
        <v>38</v>
      </c>
      <c r="D23" s="60">
        <f>'Лот № 1 расшифровка для ЮД'!L23</f>
        <v>563534.17999999993</v>
      </c>
      <c r="E23" s="55">
        <f>'Лот № 1 расшифровка для ЮД'!Q23</f>
        <v>482493.37</v>
      </c>
      <c r="F23" s="55">
        <f>'Лот № 1 расшифровка для ЮД'!R23</f>
        <v>563534.17999999993</v>
      </c>
    </row>
    <row r="24" spans="1:6" ht="26.1" customHeight="1" x14ac:dyDescent="0.25">
      <c r="A24" s="34">
        <v>20</v>
      </c>
      <c r="B24" s="52" t="s">
        <v>127</v>
      </c>
      <c r="C24" s="52" t="s">
        <v>38</v>
      </c>
      <c r="D24" s="60">
        <f>'Лот № 1 расшифровка для ЮД'!L24</f>
        <v>354621.04</v>
      </c>
      <c r="E24" s="55">
        <f>'Лот № 1 расшифровка для ЮД'!Q24</f>
        <v>309725.06</v>
      </c>
      <c r="F24" s="55">
        <f>'Лот № 1 расшифровка для ЮД'!R24</f>
        <v>309725.06</v>
      </c>
    </row>
    <row r="25" spans="1:6" ht="26.1" customHeight="1" x14ac:dyDescent="0.25">
      <c r="A25" s="34">
        <v>21</v>
      </c>
      <c r="B25" s="52" t="s">
        <v>238</v>
      </c>
      <c r="C25" s="52" t="s">
        <v>38</v>
      </c>
      <c r="D25" s="60">
        <f>'Лот № 1 расшифровка для ЮД'!L25</f>
        <v>6430.5</v>
      </c>
      <c r="E25" s="55">
        <f>'Лот № 1 расшифровка для ЮД'!Q25</f>
        <v>57007.64</v>
      </c>
      <c r="F25" s="55">
        <f>'Лот № 1 расшифровка для ЮД'!R25</f>
        <v>57007.64</v>
      </c>
    </row>
    <row r="26" spans="1:6" ht="26.1" customHeight="1" x14ac:dyDescent="0.25">
      <c r="A26" s="34">
        <v>22</v>
      </c>
      <c r="B26" s="52" t="s">
        <v>110</v>
      </c>
      <c r="C26" s="52" t="s">
        <v>38</v>
      </c>
      <c r="D26" s="60">
        <f>'Лот № 1 расшифровка для ЮД'!L26</f>
        <v>5944.72</v>
      </c>
      <c r="E26" s="55">
        <f>'Лот № 1 расшифровка для ЮД'!Q26</f>
        <v>39322.83</v>
      </c>
      <c r="F26" s="55">
        <f>'Лот № 1 расшифровка для ЮД'!R26</f>
        <v>39322.83</v>
      </c>
    </row>
    <row r="27" spans="1:6" ht="26.1" customHeight="1" x14ac:dyDescent="0.25">
      <c r="A27" s="34">
        <v>23</v>
      </c>
      <c r="B27" s="52" t="s">
        <v>128</v>
      </c>
      <c r="C27" s="52" t="s">
        <v>38</v>
      </c>
      <c r="D27" s="60">
        <f>'Лот № 1 расшифровка для ЮД'!L27</f>
        <v>488025.39</v>
      </c>
      <c r="E27" s="55">
        <f>'Лот № 1 расшифровка для ЮД'!Q27</f>
        <v>700957.20000000007</v>
      </c>
      <c r="F27" s="55">
        <f>'Лот № 1 расшифровка для ЮД'!R27</f>
        <v>700957.20000000007</v>
      </c>
    </row>
    <row r="28" spans="1:6" ht="26.1" customHeight="1" x14ac:dyDescent="0.25">
      <c r="A28" s="34">
        <v>24</v>
      </c>
      <c r="B28" s="52" t="s">
        <v>129</v>
      </c>
      <c r="C28" s="52" t="s">
        <v>38</v>
      </c>
      <c r="D28" s="60">
        <f>'Лот № 1 расшифровка для ЮД'!L28</f>
        <v>69868.639999999999</v>
      </c>
      <c r="E28" s="55">
        <f>'Лот № 1 расшифровка для ЮД'!Q28</f>
        <v>35798.28</v>
      </c>
      <c r="F28" s="55">
        <f>'Лот № 1 расшифровка для ЮД'!R28</f>
        <v>69868.639999999999</v>
      </c>
    </row>
    <row r="29" spans="1:6" ht="26.1" customHeight="1" x14ac:dyDescent="0.25">
      <c r="A29" s="34">
        <v>25</v>
      </c>
      <c r="B29" s="52" t="s">
        <v>130</v>
      </c>
      <c r="C29" s="52" t="s">
        <v>38</v>
      </c>
      <c r="D29" s="60">
        <f>'Лот № 1 расшифровка для ЮД'!L29</f>
        <v>4608.2800000000007</v>
      </c>
      <c r="E29" s="55">
        <f>'Лот № 1 расшифровка для ЮД'!Q29</f>
        <v>26587.439999999999</v>
      </c>
      <c r="F29" s="55">
        <f>'Лот № 1 расшифровка для ЮД'!R29</f>
        <v>26587.439999999999</v>
      </c>
    </row>
    <row r="30" spans="1:6" ht="26.1" customHeight="1" x14ac:dyDescent="0.25">
      <c r="A30" s="34">
        <v>26</v>
      </c>
      <c r="B30" s="52" t="s">
        <v>131</v>
      </c>
      <c r="C30" s="52" t="s">
        <v>38</v>
      </c>
      <c r="D30" s="60">
        <f>'Лот № 1 расшифровка для ЮД'!L30</f>
        <v>86329.35</v>
      </c>
      <c r="E30" s="55">
        <f>'Лот № 1 расшифровка для ЮД'!Q30</f>
        <v>135671.16</v>
      </c>
      <c r="F30" s="55">
        <f>'Лот № 1 расшифровка для ЮД'!R30</f>
        <v>135671.16</v>
      </c>
    </row>
    <row r="31" spans="1:6" ht="26.1" customHeight="1" x14ac:dyDescent="0.25">
      <c r="A31" s="34">
        <v>27</v>
      </c>
      <c r="B31" s="52" t="s">
        <v>132</v>
      </c>
      <c r="C31" s="52" t="s">
        <v>38</v>
      </c>
      <c r="D31" s="60">
        <f>'Лот № 1 расшифровка для ЮД'!L31</f>
        <v>1239.22</v>
      </c>
      <c r="E31" s="55">
        <f>'Лот № 1 расшифровка для ЮД'!Q31</f>
        <v>2007.83</v>
      </c>
      <c r="F31" s="55">
        <f>'Лот № 1 расшифровка для ЮД'!R31</f>
        <v>2007.83</v>
      </c>
    </row>
    <row r="32" spans="1:6" ht="26.1" customHeight="1" x14ac:dyDescent="0.25">
      <c r="A32" s="34">
        <v>28</v>
      </c>
      <c r="B32" s="52" t="s">
        <v>111</v>
      </c>
      <c r="C32" s="52" t="s">
        <v>38</v>
      </c>
      <c r="D32" s="60">
        <f>'Лот № 1 расшифровка для ЮД'!L32</f>
        <v>3431.54</v>
      </c>
      <c r="E32" s="55">
        <f>'Лот № 1 расшифровка для ЮД'!Q32</f>
        <v>15518.78</v>
      </c>
      <c r="F32" s="55">
        <f>'Лот № 1 расшифровка для ЮД'!R32</f>
        <v>15518.78</v>
      </c>
    </row>
    <row r="33" spans="1:6" ht="26.1" customHeight="1" x14ac:dyDescent="0.25">
      <c r="A33" s="34">
        <v>29</v>
      </c>
      <c r="B33" s="52" t="s">
        <v>133</v>
      </c>
      <c r="C33" s="52" t="s">
        <v>38</v>
      </c>
      <c r="D33" s="60">
        <f>'Лот № 1 расшифровка для ЮД'!L33</f>
        <v>15435.08</v>
      </c>
      <c r="E33" s="55">
        <f>'Лот № 1 расшифровка для ЮД'!Q33</f>
        <v>29167.989999999991</v>
      </c>
      <c r="F33" s="55">
        <f>'Лот № 1 расшифровка для ЮД'!R33</f>
        <v>29167.989999999991</v>
      </c>
    </row>
    <row r="34" spans="1:6" ht="26.1" customHeight="1" x14ac:dyDescent="0.25">
      <c r="A34" s="34">
        <v>30</v>
      </c>
      <c r="B34" s="52" t="s">
        <v>134</v>
      </c>
      <c r="C34" s="52" t="s">
        <v>38</v>
      </c>
      <c r="D34" s="60">
        <f>'Лот № 1 расшифровка для ЮД'!L34</f>
        <v>96517.4</v>
      </c>
      <c r="E34" s="55">
        <f>'Лот № 1 расшифровка для ЮД'!Q34</f>
        <v>52758.89</v>
      </c>
      <c r="F34" s="55">
        <f>'Лот № 1 расшифровка для ЮД'!R34</f>
        <v>96517.4</v>
      </c>
    </row>
    <row r="35" spans="1:6" ht="26.1" customHeight="1" x14ac:dyDescent="0.25">
      <c r="A35" s="34">
        <v>31</v>
      </c>
      <c r="B35" s="52" t="s">
        <v>135</v>
      </c>
      <c r="C35" s="52" t="s">
        <v>38</v>
      </c>
      <c r="D35" s="60">
        <f>'Лот № 1 расшифровка для ЮД'!L35</f>
        <v>41135.83</v>
      </c>
      <c r="E35" s="55">
        <f>'Лот № 1 расшифровка для ЮД'!Q35</f>
        <v>137781.63</v>
      </c>
      <c r="F35" s="55">
        <f>'Лот № 1 расшифровка для ЮД'!R35</f>
        <v>137781.63</v>
      </c>
    </row>
    <row r="36" spans="1:6" ht="26.1" customHeight="1" x14ac:dyDescent="0.25">
      <c r="A36" s="34">
        <v>32</v>
      </c>
      <c r="B36" s="52" t="s">
        <v>112</v>
      </c>
      <c r="C36" s="52" t="s">
        <v>38</v>
      </c>
      <c r="D36" s="60">
        <f>'Лот № 1 расшифровка для ЮД'!L36</f>
        <v>12205.18</v>
      </c>
      <c r="E36" s="55">
        <f>'Лот № 1 расшифровка для ЮД'!Q36</f>
        <v>12505.18</v>
      </c>
      <c r="F36" s="55">
        <f>'Лот № 1 расшифровка для ЮД'!R36</f>
        <v>12505.18</v>
      </c>
    </row>
    <row r="37" spans="1:6" ht="26.1" customHeight="1" x14ac:dyDescent="0.25">
      <c r="A37" s="34">
        <v>33</v>
      </c>
      <c r="B37" s="52" t="s">
        <v>113</v>
      </c>
      <c r="C37" s="52" t="s">
        <v>38</v>
      </c>
      <c r="D37" s="60">
        <f>'Лот № 1 расшифровка для ЮД'!L37</f>
        <v>13272.92</v>
      </c>
      <c r="E37" s="55">
        <f>'Лот № 1 расшифровка для ЮД'!Q37</f>
        <v>44551.59</v>
      </c>
      <c r="F37" s="55">
        <f>'Лот № 1 расшифровка для ЮД'!R37</f>
        <v>44551.59</v>
      </c>
    </row>
    <row r="38" spans="1:6" ht="26.1" customHeight="1" x14ac:dyDescent="0.25">
      <c r="A38" s="34">
        <v>34</v>
      </c>
      <c r="B38" s="52" t="s">
        <v>136</v>
      </c>
      <c r="C38" s="52" t="s">
        <v>38</v>
      </c>
      <c r="D38" s="60">
        <f>'Лот № 1 расшифровка для ЮД'!L38</f>
        <v>51635.360000000001</v>
      </c>
      <c r="E38" s="55">
        <f>'Лот № 1 расшифровка для ЮД'!Q38</f>
        <v>104389.85</v>
      </c>
      <c r="F38" s="55">
        <f>'Лот № 1 расшифровка для ЮД'!R38</f>
        <v>104389.85</v>
      </c>
    </row>
    <row r="39" spans="1:6" ht="26.1" customHeight="1" x14ac:dyDescent="0.25">
      <c r="A39" s="34">
        <v>35</v>
      </c>
      <c r="B39" s="52" t="s">
        <v>137</v>
      </c>
      <c r="C39" s="52" t="s">
        <v>38</v>
      </c>
      <c r="D39" s="60">
        <f>'Лот № 1 расшифровка для ЮД'!L39</f>
        <v>15373.91</v>
      </c>
      <c r="E39" s="55">
        <f>'Лот № 1 расшифровка для ЮД'!Q39</f>
        <v>17468.96</v>
      </c>
      <c r="F39" s="55">
        <f>'Лот № 1 расшифровка для ЮД'!R39</f>
        <v>17468.96</v>
      </c>
    </row>
    <row r="40" spans="1:6" ht="26.1" customHeight="1" x14ac:dyDescent="0.25">
      <c r="A40" s="34">
        <v>36</v>
      </c>
      <c r="B40" s="52" t="s">
        <v>138</v>
      </c>
      <c r="C40" s="52" t="s">
        <v>38</v>
      </c>
      <c r="D40" s="60">
        <f>'Лот № 1 расшифровка для ЮД'!L40</f>
        <v>40472.07</v>
      </c>
      <c r="E40" s="55">
        <f>'Лот № 1 расшифровка для ЮД'!Q40</f>
        <v>35552.68</v>
      </c>
      <c r="F40" s="55">
        <f>'Лот № 1 расшифровка для ЮД'!R40</f>
        <v>35552.68</v>
      </c>
    </row>
    <row r="41" spans="1:6" ht="26.1" customHeight="1" x14ac:dyDescent="0.25">
      <c r="A41" s="34">
        <v>37</v>
      </c>
      <c r="B41" s="52" t="s">
        <v>139</v>
      </c>
      <c r="C41" s="52" t="s">
        <v>38</v>
      </c>
      <c r="D41" s="60">
        <f>'Лот № 1 расшифровка для ЮД'!L41</f>
        <v>5460.51</v>
      </c>
      <c r="E41" s="55">
        <f>'Лот № 1 расшифровка для ЮД'!Q41</f>
        <v>7642.53</v>
      </c>
      <c r="F41" s="55">
        <f>'Лот № 1 расшифровка для ЮД'!R41</f>
        <v>7642.53</v>
      </c>
    </row>
    <row r="42" spans="1:6" ht="26.1" customHeight="1" x14ac:dyDescent="0.25">
      <c r="A42" s="34">
        <v>38</v>
      </c>
      <c r="B42" s="52" t="s">
        <v>114</v>
      </c>
      <c r="C42" s="52" t="s">
        <v>38</v>
      </c>
      <c r="D42" s="60">
        <f>'Лот № 1 расшифровка для ЮД'!L42</f>
        <v>214795.13999999998</v>
      </c>
      <c r="E42" s="55">
        <f>'Лот № 1 расшифровка для ЮД'!Q42</f>
        <v>232560.23</v>
      </c>
      <c r="F42" s="55">
        <f>'Лот № 1 расшифровка для ЮД'!R42</f>
        <v>232560.23</v>
      </c>
    </row>
    <row r="43" spans="1:6" ht="26.1" customHeight="1" x14ac:dyDescent="0.25">
      <c r="A43" s="34">
        <v>39</v>
      </c>
      <c r="B43" s="52" t="s">
        <v>140</v>
      </c>
      <c r="C43" s="52" t="s">
        <v>38</v>
      </c>
      <c r="D43" s="60">
        <f>'Лот № 1 расшифровка для ЮД'!L43</f>
        <v>100471.41</v>
      </c>
      <c r="E43" s="55">
        <f>'Лот № 1 расшифровка для ЮД'!Q43</f>
        <v>136427.75999999998</v>
      </c>
      <c r="F43" s="55">
        <f>'Лот № 1 расшифровка для ЮД'!R43</f>
        <v>136427.75999999998</v>
      </c>
    </row>
    <row r="44" spans="1:6" ht="26.1" customHeight="1" x14ac:dyDescent="0.25">
      <c r="A44" s="34">
        <v>40</v>
      </c>
      <c r="B44" s="52" t="s">
        <v>141</v>
      </c>
      <c r="C44" s="52" t="s">
        <v>38</v>
      </c>
      <c r="D44" s="60">
        <f>'Лот № 1 расшифровка для ЮД'!L44</f>
        <v>84406.25</v>
      </c>
      <c r="E44" s="55">
        <f>'Лот № 1 расшифровка для ЮД'!Q44</f>
        <v>100115.48</v>
      </c>
      <c r="F44" s="55">
        <f>'Лот № 1 расшифровка для ЮД'!R44</f>
        <v>100115.48</v>
      </c>
    </row>
    <row r="45" spans="1:6" ht="26.1" customHeight="1" x14ac:dyDescent="0.25">
      <c r="A45" s="34">
        <v>41</v>
      </c>
      <c r="B45" s="52" t="s">
        <v>142</v>
      </c>
      <c r="C45" s="52" t="s">
        <v>38</v>
      </c>
      <c r="D45" s="60">
        <f>'Лот № 1 расшифровка для ЮД'!L45</f>
        <v>57903.39</v>
      </c>
      <c r="E45" s="55">
        <f>'Лот № 1 расшифровка для ЮД'!Q45</f>
        <v>73065.88</v>
      </c>
      <c r="F45" s="55">
        <f>'Лот № 1 расшифровка для ЮД'!R45</f>
        <v>73065.88</v>
      </c>
    </row>
    <row r="46" spans="1:6" ht="26.1" customHeight="1" x14ac:dyDescent="0.25">
      <c r="A46" s="34">
        <v>42</v>
      </c>
      <c r="B46" s="52" t="s">
        <v>143</v>
      </c>
      <c r="C46" s="52" t="s">
        <v>38</v>
      </c>
      <c r="D46" s="60">
        <f>'Лот № 1 расшифровка для ЮД'!L46</f>
        <v>6906.95</v>
      </c>
      <c r="E46" s="55">
        <f>'Лот № 1 расшифровка для ЮД'!Q46</f>
        <v>42293.93</v>
      </c>
      <c r="F46" s="55">
        <f>'Лот № 1 расшифровка для ЮД'!R46</f>
        <v>42293.93</v>
      </c>
    </row>
    <row r="47" spans="1:6" ht="26.1" customHeight="1" x14ac:dyDescent="0.25">
      <c r="A47" s="34">
        <v>43</v>
      </c>
      <c r="B47" s="52" t="s">
        <v>274</v>
      </c>
      <c r="C47" s="52" t="s">
        <v>38</v>
      </c>
      <c r="D47" s="60">
        <f>'Лот № 1 расшифровка для ЮД'!L47</f>
        <v>3411.76</v>
      </c>
      <c r="E47" s="55">
        <f>'Лот № 1 расшифровка для ЮД'!Q47</f>
        <v>6064.07</v>
      </c>
      <c r="F47" s="55">
        <f>'Лот № 1 расшифровка для ЮД'!R47</f>
        <v>6064.07</v>
      </c>
    </row>
    <row r="48" spans="1:6" ht="26.1" customHeight="1" x14ac:dyDescent="0.25">
      <c r="A48" s="34">
        <v>44</v>
      </c>
      <c r="B48" s="52" t="s">
        <v>144</v>
      </c>
      <c r="C48" s="52" t="s">
        <v>38</v>
      </c>
      <c r="D48" s="60">
        <f>'Лот № 1 расшифровка для ЮД'!L48</f>
        <v>54482.71</v>
      </c>
      <c r="E48" s="55">
        <f>'Лот № 1 расшифровка для ЮД'!Q48</f>
        <v>779.54999999999927</v>
      </c>
      <c r="F48" s="55">
        <f>'Лот № 1 расшифровка для ЮД'!R48</f>
        <v>54482.71</v>
      </c>
    </row>
    <row r="49" spans="1:6" ht="26.1" customHeight="1" x14ac:dyDescent="0.25">
      <c r="A49" s="34">
        <v>45</v>
      </c>
      <c r="B49" s="52" t="s">
        <v>146</v>
      </c>
      <c r="C49" s="52" t="s">
        <v>38</v>
      </c>
      <c r="D49" s="60">
        <f>'Лот № 1 расшифровка для ЮД'!L49</f>
        <v>102466.82</v>
      </c>
      <c r="E49" s="55">
        <f>'Лот № 1 расшифровка для ЮД'!Q49</f>
        <v>135265.63</v>
      </c>
      <c r="F49" s="55">
        <f>'Лот № 1 расшифровка для ЮД'!R49</f>
        <v>135265.63</v>
      </c>
    </row>
    <row r="50" spans="1:6" x14ac:dyDescent="0.25">
      <c r="A50" s="118" t="s">
        <v>19</v>
      </c>
      <c r="B50" s="119"/>
      <c r="C50" s="92"/>
      <c r="D50" s="67">
        <f>SUM(D5:D49)</f>
        <v>4705112.3</v>
      </c>
      <c r="E50" s="67">
        <f>SUM(E5:E49)</f>
        <v>5917935.9100000001</v>
      </c>
      <c r="F50" s="67">
        <f>SUM(F5:F49)</f>
        <v>6130508.75</v>
      </c>
    </row>
  </sheetData>
  <mergeCells count="2">
    <mergeCell ref="A1:B1"/>
    <mergeCell ref="A50:B50"/>
  </mergeCells>
  <pageMargins left="0.7" right="0.7" top="0.75" bottom="0.75" header="0.3" footer="0.3"/>
  <pageSetup paperSize="9" scale="60" orientation="portrait" horizontalDpi="180" verticalDpi="18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69"/>
  <sheetViews>
    <sheetView zoomScale="90" zoomScaleNormal="90" workbookViewId="0">
      <pane xSplit="2" ySplit="4" topLeftCell="K47" activePane="bottomRight" state="frozen"/>
      <selection pane="topRight" activeCell="C1" sqref="C1"/>
      <selection pane="bottomLeft" activeCell="A5" sqref="A5"/>
      <selection pane="bottomRight" activeCell="R50" sqref="R50"/>
    </sheetView>
  </sheetViews>
  <sheetFormatPr defaultRowHeight="15" x14ac:dyDescent="0.25"/>
  <cols>
    <col min="1" max="1" width="9.28515625" style="72" customWidth="1"/>
    <col min="2" max="2" width="31.7109375" style="72" customWidth="1"/>
    <col min="3" max="3" width="21" style="72" customWidth="1"/>
    <col min="4" max="4" width="19.7109375" style="72" customWidth="1"/>
    <col min="5" max="5" width="19.140625" style="72" customWidth="1"/>
    <col min="6" max="6" width="12.7109375" style="72" customWidth="1"/>
    <col min="7" max="7" width="12.5703125" style="72" customWidth="1"/>
    <col min="8" max="8" width="14.85546875" style="72" customWidth="1"/>
    <col min="9" max="9" width="15.140625" style="72" customWidth="1"/>
    <col min="10" max="10" width="16.5703125" style="72" customWidth="1"/>
    <col min="11" max="11" width="16" style="72" customWidth="1"/>
    <col min="12" max="12" width="18.85546875" style="72" customWidth="1"/>
    <col min="13" max="13" width="18.42578125" style="72" customWidth="1"/>
    <col min="14" max="14" width="13.7109375" style="72" customWidth="1"/>
    <col min="15" max="15" width="17.140625" style="72" customWidth="1"/>
    <col min="16" max="16" width="14" style="72" customWidth="1"/>
    <col min="17" max="17" width="24.28515625" style="72" customWidth="1"/>
    <col min="18" max="18" width="15.140625" style="72" customWidth="1"/>
    <col min="19" max="20" width="14.42578125" style="72" customWidth="1"/>
    <col min="21" max="21" width="19.85546875" style="72" customWidth="1"/>
    <col min="22" max="22" width="60.140625" style="72" customWidth="1"/>
    <col min="23" max="23" width="44.42578125" style="72" customWidth="1"/>
    <col min="24" max="24" width="26.28515625" style="72" customWidth="1"/>
    <col min="25" max="25" width="18.140625" style="72" customWidth="1"/>
    <col min="26" max="26" width="20.28515625" style="72" customWidth="1"/>
    <col min="27" max="27" width="13.5703125" style="72" customWidth="1"/>
    <col min="28" max="28" width="19.28515625" style="72" customWidth="1"/>
    <col min="29" max="29" width="21" style="72" customWidth="1"/>
    <col min="30" max="31" width="24.42578125" style="72" customWidth="1"/>
    <col min="32" max="32" width="19.140625" style="72" customWidth="1"/>
    <col min="33" max="33" width="14" style="72" customWidth="1"/>
    <col min="34" max="34" width="9.140625" style="72" customWidth="1"/>
    <col min="35" max="35" width="27.28515625" style="72" customWidth="1"/>
    <col min="36" max="36" width="45.140625" style="72" customWidth="1"/>
    <col min="37" max="16384" width="9.140625" style="72"/>
  </cols>
  <sheetData>
    <row r="1" spans="1:36" ht="16.5" customHeight="1" x14ac:dyDescent="0.25">
      <c r="A1" s="35"/>
      <c r="B1" s="36" t="s">
        <v>22</v>
      </c>
      <c r="C1" s="36"/>
      <c r="D1" s="36"/>
      <c r="E1" s="37"/>
      <c r="F1" s="36"/>
      <c r="G1" s="36"/>
      <c r="H1" s="37"/>
      <c r="I1" s="37"/>
      <c r="J1" s="37"/>
      <c r="K1" s="37"/>
      <c r="L1" s="38"/>
      <c r="M1" s="37"/>
      <c r="N1" s="37"/>
      <c r="O1" s="37"/>
      <c r="P1" s="37"/>
      <c r="Q1" s="37"/>
      <c r="R1" s="37"/>
      <c r="S1" s="37"/>
      <c r="T1" s="37"/>
      <c r="U1" s="37"/>
      <c r="V1" s="37"/>
      <c r="W1" s="37"/>
      <c r="X1" s="37"/>
      <c r="Y1" s="37"/>
      <c r="Z1" s="37"/>
      <c r="AA1" s="37"/>
      <c r="AB1" s="37"/>
      <c r="AC1" s="37"/>
      <c r="AD1" s="37"/>
      <c r="AE1" s="37"/>
      <c r="AF1" s="37"/>
      <c r="AG1" s="37"/>
      <c r="AH1" s="39"/>
      <c r="AI1" s="37"/>
    </row>
    <row r="2" spans="1:36" ht="15" customHeight="1" x14ac:dyDescent="0.25">
      <c r="A2" s="35"/>
      <c r="B2" s="36"/>
      <c r="C2" s="36"/>
      <c r="D2" s="36"/>
      <c r="E2" s="37"/>
      <c r="F2" s="36"/>
      <c r="G2" s="36"/>
      <c r="H2" s="40"/>
      <c r="I2" s="40"/>
      <c r="J2" s="40"/>
      <c r="K2" s="40"/>
      <c r="L2" s="38"/>
      <c r="M2" s="37"/>
      <c r="N2" s="37"/>
      <c r="O2" s="37"/>
      <c r="P2" s="37"/>
      <c r="Q2" s="37"/>
      <c r="R2" s="37"/>
      <c r="S2" s="37"/>
      <c r="T2" s="37"/>
      <c r="U2" s="37"/>
      <c r="V2" s="37"/>
      <c r="W2" s="37"/>
      <c r="X2" s="37"/>
      <c r="Y2" s="37"/>
      <c r="Z2" s="37"/>
      <c r="AA2" s="37"/>
      <c r="AB2" s="37"/>
      <c r="AC2" s="37"/>
      <c r="AD2" s="37"/>
      <c r="AE2" s="37"/>
      <c r="AF2" s="37"/>
      <c r="AG2" s="37"/>
      <c r="AH2" s="39"/>
      <c r="AI2" s="37"/>
    </row>
    <row r="3" spans="1:36" ht="75.75" customHeight="1" x14ac:dyDescent="0.25">
      <c r="A3" s="41" t="s">
        <v>23</v>
      </c>
      <c r="B3" s="42" t="s">
        <v>25</v>
      </c>
      <c r="C3" s="42" t="s">
        <v>13</v>
      </c>
      <c r="D3" s="42" t="s">
        <v>106</v>
      </c>
      <c r="E3" s="43" t="s">
        <v>35</v>
      </c>
      <c r="F3" s="43" t="s">
        <v>103</v>
      </c>
      <c r="G3" s="43" t="s">
        <v>27</v>
      </c>
      <c r="H3" s="43" t="s">
        <v>315</v>
      </c>
      <c r="I3" s="43" t="s">
        <v>316</v>
      </c>
      <c r="J3" s="43" t="s">
        <v>317</v>
      </c>
      <c r="K3" s="43" t="s">
        <v>318</v>
      </c>
      <c r="L3" s="46" t="s">
        <v>319</v>
      </c>
      <c r="M3" s="43" t="s">
        <v>320</v>
      </c>
      <c r="N3" s="43" t="s">
        <v>321</v>
      </c>
      <c r="O3" s="45" t="s">
        <v>185</v>
      </c>
      <c r="P3" s="45" t="s">
        <v>184</v>
      </c>
      <c r="Q3" s="44" t="s">
        <v>186</v>
      </c>
      <c r="R3" s="44" t="s">
        <v>180</v>
      </c>
      <c r="S3" s="43" t="s">
        <v>322</v>
      </c>
      <c r="T3" s="43" t="s">
        <v>178</v>
      </c>
      <c r="U3" s="43" t="s">
        <v>179</v>
      </c>
      <c r="V3" s="43" t="s">
        <v>26</v>
      </c>
      <c r="W3" s="77" t="s">
        <v>181</v>
      </c>
      <c r="X3" s="43" t="s">
        <v>28</v>
      </c>
      <c r="Y3" s="43" t="s">
        <v>29</v>
      </c>
      <c r="Z3" s="43" t="s">
        <v>30</v>
      </c>
      <c r="AA3" s="43" t="s">
        <v>31</v>
      </c>
      <c r="AB3" s="43" t="s">
        <v>32</v>
      </c>
      <c r="AC3" s="43" t="s">
        <v>33</v>
      </c>
      <c r="AD3" s="43" t="s">
        <v>220</v>
      </c>
      <c r="AE3" s="43" t="s">
        <v>15</v>
      </c>
      <c r="AF3" s="43" t="s">
        <v>34</v>
      </c>
      <c r="AG3" s="43" t="s">
        <v>36</v>
      </c>
      <c r="AH3" s="47" t="s">
        <v>37</v>
      </c>
      <c r="AI3" s="43" t="s">
        <v>297</v>
      </c>
      <c r="AJ3" s="72" t="s">
        <v>300</v>
      </c>
    </row>
    <row r="4" spans="1:36" ht="23.25" customHeight="1" x14ac:dyDescent="0.25">
      <c r="A4" s="48" t="s">
        <v>24</v>
      </c>
      <c r="B4" s="49">
        <v>1</v>
      </c>
      <c r="C4" s="49">
        <v>2</v>
      </c>
      <c r="D4" s="49">
        <v>3</v>
      </c>
      <c r="E4" s="49">
        <v>4</v>
      </c>
      <c r="F4" s="49">
        <v>5</v>
      </c>
      <c r="G4" s="49">
        <v>6</v>
      </c>
      <c r="H4" s="49">
        <v>7</v>
      </c>
      <c r="I4" s="49">
        <v>8</v>
      </c>
      <c r="J4" s="49">
        <v>9</v>
      </c>
      <c r="K4" s="49">
        <v>10</v>
      </c>
      <c r="L4" s="50">
        <v>11</v>
      </c>
      <c r="M4" s="49">
        <v>12</v>
      </c>
      <c r="N4" s="49">
        <v>13</v>
      </c>
      <c r="O4" s="49">
        <v>14</v>
      </c>
      <c r="P4" s="49">
        <v>15</v>
      </c>
      <c r="Q4" s="50">
        <v>16</v>
      </c>
      <c r="R4" s="50">
        <v>17</v>
      </c>
      <c r="S4" s="49">
        <v>18</v>
      </c>
      <c r="T4" s="49">
        <v>19</v>
      </c>
      <c r="U4" s="49">
        <v>20</v>
      </c>
      <c r="V4" s="49">
        <v>21</v>
      </c>
      <c r="W4" s="49">
        <v>22</v>
      </c>
      <c r="X4" s="49">
        <v>23</v>
      </c>
      <c r="Y4" s="49">
        <v>24</v>
      </c>
      <c r="Z4" s="49">
        <v>25</v>
      </c>
      <c r="AA4" s="49">
        <v>26</v>
      </c>
      <c r="AB4" s="49">
        <v>27</v>
      </c>
      <c r="AC4" s="49">
        <v>28</v>
      </c>
      <c r="AD4" s="49">
        <v>29</v>
      </c>
      <c r="AE4" s="49">
        <v>30</v>
      </c>
      <c r="AF4" s="49">
        <v>31</v>
      </c>
      <c r="AG4" s="49">
        <v>32</v>
      </c>
      <c r="AH4" s="51"/>
      <c r="AI4" s="49"/>
    </row>
    <row r="5" spans="1:36" ht="125.1" customHeight="1" x14ac:dyDescent="0.25">
      <c r="A5" s="34">
        <v>1</v>
      </c>
      <c r="B5" s="52" t="s">
        <v>109</v>
      </c>
      <c r="C5" s="52" t="s">
        <v>38</v>
      </c>
      <c r="D5" s="52" t="s">
        <v>108</v>
      </c>
      <c r="E5" s="58" t="s">
        <v>43</v>
      </c>
      <c r="F5" s="53">
        <v>29</v>
      </c>
      <c r="G5" s="56">
        <v>41194</v>
      </c>
      <c r="H5" s="53">
        <v>0</v>
      </c>
      <c r="I5" s="53">
        <f>96.26+4613.71</f>
        <v>4709.97</v>
      </c>
      <c r="J5" s="53">
        <v>0</v>
      </c>
      <c r="K5" s="53">
        <v>7614.76</v>
      </c>
      <c r="L5" s="54">
        <f t="shared" ref="L5:L33" si="0">H5+I5+J5+K5</f>
        <v>12324.73</v>
      </c>
      <c r="M5" s="53">
        <v>0</v>
      </c>
      <c r="N5" s="53">
        <v>0</v>
      </c>
      <c r="O5" s="53">
        <f>28053.84+520.81</f>
        <v>28574.65</v>
      </c>
      <c r="P5" s="55">
        <v>751.39</v>
      </c>
      <c r="Q5" s="54">
        <f t="shared" ref="Q5:Q33" si="1">O5-P5</f>
        <v>27823.260000000002</v>
      </c>
      <c r="R5" s="54">
        <f t="shared" ref="R5:R22" si="2">Q5</f>
        <v>27823.260000000002</v>
      </c>
      <c r="S5" s="55">
        <v>251.39</v>
      </c>
      <c r="T5" s="71">
        <v>43560</v>
      </c>
      <c r="U5" s="55" t="s">
        <v>40</v>
      </c>
      <c r="V5" s="52" t="s">
        <v>39</v>
      </c>
      <c r="W5" s="52" t="s">
        <v>147</v>
      </c>
      <c r="X5" s="52" t="s">
        <v>188</v>
      </c>
      <c r="Y5" s="52" t="s">
        <v>190</v>
      </c>
      <c r="Z5" s="52" t="s">
        <v>187</v>
      </c>
      <c r="AA5" s="56">
        <v>43286</v>
      </c>
      <c r="AB5" s="56">
        <v>43558</v>
      </c>
      <c r="AC5" s="52" t="s">
        <v>81</v>
      </c>
      <c r="AD5" s="52" t="s">
        <v>221</v>
      </c>
      <c r="AE5" s="52" t="s">
        <v>40</v>
      </c>
      <c r="AF5" s="57" t="s">
        <v>42</v>
      </c>
      <c r="AG5" s="58">
        <v>1481</v>
      </c>
      <c r="AH5" s="59">
        <v>1</v>
      </c>
      <c r="AI5" s="52" t="s">
        <v>299</v>
      </c>
      <c r="AJ5" s="52" t="s">
        <v>298</v>
      </c>
    </row>
    <row r="6" spans="1:36" ht="125.1" customHeight="1" x14ac:dyDescent="0.25">
      <c r="A6" s="34">
        <v>2</v>
      </c>
      <c r="B6" s="52" t="s">
        <v>192</v>
      </c>
      <c r="C6" s="52" t="s">
        <v>38</v>
      </c>
      <c r="D6" s="52" t="s">
        <v>44</v>
      </c>
      <c r="E6" s="58" t="s">
        <v>70</v>
      </c>
      <c r="F6" s="53">
        <v>16</v>
      </c>
      <c r="G6" s="56">
        <v>43680</v>
      </c>
      <c r="H6" s="53">
        <v>35096.35</v>
      </c>
      <c r="I6" s="53">
        <v>400</v>
      </c>
      <c r="J6" s="53">
        <v>0</v>
      </c>
      <c r="K6" s="53">
        <v>0</v>
      </c>
      <c r="L6" s="54">
        <f t="shared" si="0"/>
        <v>35496.35</v>
      </c>
      <c r="M6" s="53">
        <v>0</v>
      </c>
      <c r="N6" s="53">
        <v>0</v>
      </c>
      <c r="O6" s="53">
        <v>39040.47</v>
      </c>
      <c r="P6" s="55">
        <v>0</v>
      </c>
      <c r="Q6" s="54">
        <f t="shared" si="1"/>
        <v>39040.47</v>
      </c>
      <c r="R6" s="54">
        <f t="shared" si="2"/>
        <v>39040.47</v>
      </c>
      <c r="S6" s="55">
        <v>0</v>
      </c>
      <c r="T6" s="71" t="s">
        <v>40</v>
      </c>
      <c r="U6" s="55" t="s">
        <v>40</v>
      </c>
      <c r="V6" s="52" t="s">
        <v>39</v>
      </c>
      <c r="W6" s="52" t="s">
        <v>193</v>
      </c>
      <c r="X6" s="52" t="s">
        <v>45</v>
      </c>
      <c r="Y6" s="52" t="s">
        <v>191</v>
      </c>
      <c r="Z6" s="52" t="s">
        <v>99</v>
      </c>
      <c r="AA6" s="56">
        <v>43392</v>
      </c>
      <c r="AB6" s="56">
        <v>43523</v>
      </c>
      <c r="AC6" s="52" t="s">
        <v>81</v>
      </c>
      <c r="AD6" s="52" t="s">
        <v>221</v>
      </c>
      <c r="AE6" s="52" t="s">
        <v>287</v>
      </c>
      <c r="AF6" s="57" t="s">
        <v>42</v>
      </c>
      <c r="AG6" s="58">
        <v>1176</v>
      </c>
      <c r="AH6" s="59">
        <v>1</v>
      </c>
      <c r="AI6" s="52" t="s">
        <v>299</v>
      </c>
      <c r="AJ6" s="52" t="s">
        <v>298</v>
      </c>
    </row>
    <row r="7" spans="1:36" ht="125.1" customHeight="1" x14ac:dyDescent="0.25">
      <c r="A7" s="34">
        <v>3</v>
      </c>
      <c r="B7" s="52" t="s">
        <v>115</v>
      </c>
      <c r="C7" s="52" t="s">
        <v>38</v>
      </c>
      <c r="D7" s="52" t="s">
        <v>108</v>
      </c>
      <c r="E7" s="58" t="s">
        <v>43</v>
      </c>
      <c r="F7" s="53">
        <v>5.17</v>
      </c>
      <c r="G7" s="56">
        <v>39860</v>
      </c>
      <c r="H7" s="53">
        <v>0</v>
      </c>
      <c r="I7" s="53">
        <v>21.36</v>
      </c>
      <c r="J7" s="53">
        <v>0</v>
      </c>
      <c r="K7" s="53">
        <v>0</v>
      </c>
      <c r="L7" s="54">
        <f t="shared" si="0"/>
        <v>21.36</v>
      </c>
      <c r="M7" s="53">
        <v>0</v>
      </c>
      <c r="N7" s="53">
        <v>0</v>
      </c>
      <c r="O7" s="53">
        <f>47458.72+1830.99</f>
        <v>49289.71</v>
      </c>
      <c r="P7" s="55">
        <v>0</v>
      </c>
      <c r="Q7" s="54">
        <f t="shared" si="1"/>
        <v>49289.71</v>
      </c>
      <c r="R7" s="54">
        <f t="shared" si="2"/>
        <v>49289.71</v>
      </c>
      <c r="S7" s="55">
        <v>0</v>
      </c>
      <c r="T7" s="71" t="s">
        <v>40</v>
      </c>
      <c r="U7" s="55" t="s">
        <v>40</v>
      </c>
      <c r="V7" s="52" t="s">
        <v>39</v>
      </c>
      <c r="W7" s="52" t="s">
        <v>148</v>
      </c>
      <c r="X7" s="52" t="s">
        <v>189</v>
      </c>
      <c r="Y7" s="52" t="s">
        <v>88</v>
      </c>
      <c r="Z7" s="52" t="s">
        <v>89</v>
      </c>
      <c r="AA7" s="56">
        <v>41068</v>
      </c>
      <c r="AB7" s="52" t="s">
        <v>40</v>
      </c>
      <c r="AC7" s="52" t="s">
        <v>40</v>
      </c>
      <c r="AD7" s="52" t="s">
        <v>79</v>
      </c>
      <c r="AE7" s="52" t="s">
        <v>40</v>
      </c>
      <c r="AF7" s="57" t="s">
        <v>42</v>
      </c>
      <c r="AG7" s="58">
        <v>284</v>
      </c>
      <c r="AH7" s="59">
        <v>1</v>
      </c>
      <c r="AI7" s="52" t="s">
        <v>299</v>
      </c>
      <c r="AJ7" s="52" t="s">
        <v>298</v>
      </c>
    </row>
    <row r="8" spans="1:36" ht="125.1" customHeight="1" x14ac:dyDescent="0.25">
      <c r="A8" s="34">
        <v>4</v>
      </c>
      <c r="B8" s="52" t="s">
        <v>195</v>
      </c>
      <c r="C8" s="52" t="s">
        <v>38</v>
      </c>
      <c r="D8" s="52" t="s">
        <v>44</v>
      </c>
      <c r="E8" s="58" t="s">
        <v>70</v>
      </c>
      <c r="F8" s="53">
        <v>19.75</v>
      </c>
      <c r="G8" s="56">
        <v>40497</v>
      </c>
      <c r="H8" s="53">
        <v>0</v>
      </c>
      <c r="I8" s="53">
        <f>17267.21+16434.67+21926.29</f>
        <v>55628.17</v>
      </c>
      <c r="J8" s="53">
        <v>0</v>
      </c>
      <c r="K8" s="53">
        <v>0</v>
      </c>
      <c r="L8" s="54">
        <f t="shared" si="0"/>
        <v>55628.17</v>
      </c>
      <c r="M8" s="53">
        <v>0</v>
      </c>
      <c r="N8" s="53">
        <v>0</v>
      </c>
      <c r="O8" s="53">
        <v>82542</v>
      </c>
      <c r="P8" s="55">
        <v>13190.95</v>
      </c>
      <c r="Q8" s="54">
        <f t="shared" si="1"/>
        <v>69351.05</v>
      </c>
      <c r="R8" s="54">
        <f t="shared" si="2"/>
        <v>69351.05</v>
      </c>
      <c r="S8" s="55">
        <v>13190.95</v>
      </c>
      <c r="T8" s="71">
        <v>43325</v>
      </c>
      <c r="U8" s="55" t="s">
        <v>40</v>
      </c>
      <c r="V8" s="52" t="s">
        <v>39</v>
      </c>
      <c r="W8" s="52" t="s">
        <v>196</v>
      </c>
      <c r="X8" s="52" t="s">
        <v>101</v>
      </c>
      <c r="Y8" s="52" t="s">
        <v>194</v>
      </c>
      <c r="Z8" s="52" t="s">
        <v>92</v>
      </c>
      <c r="AA8" s="56">
        <v>40107</v>
      </c>
      <c r="AB8" s="52" t="s">
        <v>40</v>
      </c>
      <c r="AC8" s="52" t="s">
        <v>40</v>
      </c>
      <c r="AD8" s="52" t="s">
        <v>79</v>
      </c>
      <c r="AE8" s="52" t="s">
        <v>287</v>
      </c>
      <c r="AF8" s="57" t="s">
        <v>42</v>
      </c>
      <c r="AG8" s="58">
        <v>4683</v>
      </c>
      <c r="AH8" s="59">
        <v>1</v>
      </c>
      <c r="AI8" s="52" t="s">
        <v>299</v>
      </c>
      <c r="AJ8" s="52" t="s">
        <v>298</v>
      </c>
    </row>
    <row r="9" spans="1:36" ht="125.1" customHeight="1" x14ac:dyDescent="0.25">
      <c r="A9" s="34">
        <v>5</v>
      </c>
      <c r="B9" s="52" t="s">
        <v>197</v>
      </c>
      <c r="C9" s="52" t="s">
        <v>38</v>
      </c>
      <c r="D9" s="52" t="s">
        <v>108</v>
      </c>
      <c r="E9" s="58" t="s">
        <v>70</v>
      </c>
      <c r="F9" s="53" t="s">
        <v>200</v>
      </c>
      <c r="G9" s="56">
        <v>40392</v>
      </c>
      <c r="H9" s="53">
        <v>11716.52</v>
      </c>
      <c r="I9" s="53">
        <f>2777.2+10740.57+28564.12</f>
        <v>42081.89</v>
      </c>
      <c r="J9" s="53">
        <v>0</v>
      </c>
      <c r="K9" s="53">
        <v>0</v>
      </c>
      <c r="L9" s="54">
        <f t="shared" si="0"/>
        <v>53798.41</v>
      </c>
      <c r="M9" s="53">
        <v>0</v>
      </c>
      <c r="N9" s="53">
        <v>0</v>
      </c>
      <c r="O9" s="53">
        <v>72295.039999999994</v>
      </c>
      <c r="P9" s="55">
        <v>15000</v>
      </c>
      <c r="Q9" s="54">
        <f t="shared" si="1"/>
        <v>57295.039999999994</v>
      </c>
      <c r="R9" s="54">
        <f t="shared" si="2"/>
        <v>57295.039999999994</v>
      </c>
      <c r="S9" s="55">
        <v>15000</v>
      </c>
      <c r="T9" s="71">
        <v>44068</v>
      </c>
      <c r="U9" s="55" t="s">
        <v>40</v>
      </c>
      <c r="V9" s="52" t="s">
        <v>39</v>
      </c>
      <c r="W9" s="52" t="s">
        <v>198</v>
      </c>
      <c r="X9" s="52" t="s">
        <v>83</v>
      </c>
      <c r="Y9" s="52" t="s">
        <v>199</v>
      </c>
      <c r="Z9" s="52" t="s">
        <v>84</v>
      </c>
      <c r="AA9" s="56">
        <v>43291</v>
      </c>
      <c r="AB9" s="52" t="s">
        <v>40</v>
      </c>
      <c r="AC9" s="52" t="s">
        <v>40</v>
      </c>
      <c r="AD9" s="52" t="s">
        <v>79</v>
      </c>
      <c r="AE9" s="52" t="s">
        <v>40</v>
      </c>
      <c r="AF9" s="57" t="s">
        <v>42</v>
      </c>
      <c r="AG9" s="58">
        <v>3621</v>
      </c>
      <c r="AH9" s="59">
        <v>1</v>
      </c>
      <c r="AI9" s="52" t="s">
        <v>299</v>
      </c>
      <c r="AJ9" s="52" t="s">
        <v>298</v>
      </c>
    </row>
    <row r="10" spans="1:36" ht="125.1" customHeight="1" x14ac:dyDescent="0.25">
      <c r="A10" s="34">
        <v>6</v>
      </c>
      <c r="B10" s="52" t="s">
        <v>201</v>
      </c>
      <c r="C10" s="52" t="s">
        <v>38</v>
      </c>
      <c r="D10" s="52" t="s">
        <v>44</v>
      </c>
      <c r="E10" s="58" t="s">
        <v>70</v>
      </c>
      <c r="F10" s="53">
        <v>15</v>
      </c>
      <c r="G10" s="56">
        <v>42632</v>
      </c>
      <c r="H10" s="53">
        <v>18376.64</v>
      </c>
      <c r="I10" s="53">
        <f>7785.18+9124.04+13465.09</f>
        <v>30374.31</v>
      </c>
      <c r="J10" s="53">
        <v>0</v>
      </c>
      <c r="K10" s="53">
        <v>0</v>
      </c>
      <c r="L10" s="54">
        <f t="shared" si="0"/>
        <v>48750.95</v>
      </c>
      <c r="M10" s="53">
        <v>0</v>
      </c>
      <c r="N10" s="53">
        <v>0</v>
      </c>
      <c r="O10" s="53">
        <v>182223.55</v>
      </c>
      <c r="P10" s="55">
        <v>89265.65</v>
      </c>
      <c r="Q10" s="54">
        <f t="shared" si="1"/>
        <v>92957.9</v>
      </c>
      <c r="R10" s="54">
        <f t="shared" si="2"/>
        <v>92957.9</v>
      </c>
      <c r="S10" s="89">
        <v>89265.65</v>
      </c>
      <c r="T10" s="71">
        <v>44692</v>
      </c>
      <c r="U10" s="55" t="s">
        <v>40</v>
      </c>
      <c r="V10" s="52" t="s">
        <v>39</v>
      </c>
      <c r="W10" s="52" t="s">
        <v>202</v>
      </c>
      <c r="X10" s="52" t="s">
        <v>45</v>
      </c>
      <c r="Y10" s="52" t="s">
        <v>203</v>
      </c>
      <c r="Z10" s="52" t="s">
        <v>204</v>
      </c>
      <c r="AA10" s="56">
        <v>43185</v>
      </c>
      <c r="AB10" s="52" t="s">
        <v>40</v>
      </c>
      <c r="AC10" s="52" t="s">
        <v>40</v>
      </c>
      <c r="AD10" s="52" t="s">
        <v>228</v>
      </c>
      <c r="AE10" s="52" t="s">
        <v>287</v>
      </c>
      <c r="AF10" s="57" t="s">
        <v>42</v>
      </c>
      <c r="AG10" s="58">
        <v>1382</v>
      </c>
      <c r="AH10" s="59">
        <v>1</v>
      </c>
      <c r="AI10" s="52" t="s">
        <v>299</v>
      </c>
      <c r="AJ10" s="52" t="s">
        <v>298</v>
      </c>
    </row>
    <row r="11" spans="1:36" ht="125.1" customHeight="1" x14ac:dyDescent="0.25">
      <c r="A11" s="34">
        <v>7</v>
      </c>
      <c r="B11" s="52" t="s">
        <v>116</v>
      </c>
      <c r="C11" s="52" t="s">
        <v>38</v>
      </c>
      <c r="D11" s="52" t="s">
        <v>107</v>
      </c>
      <c r="E11" s="58" t="s">
        <v>43</v>
      </c>
      <c r="F11" s="53">
        <v>18.899999999999999</v>
      </c>
      <c r="G11" s="56">
        <v>42783</v>
      </c>
      <c r="H11" s="53">
        <v>40307.32</v>
      </c>
      <c r="I11" s="53">
        <f>1084.02+3051.45+0.01+542.65</f>
        <v>4678.1299999999992</v>
      </c>
      <c r="J11" s="53">
        <v>0</v>
      </c>
      <c r="K11" s="53">
        <v>0</v>
      </c>
      <c r="L11" s="54">
        <f t="shared" si="0"/>
        <v>44985.45</v>
      </c>
      <c r="M11" s="53">
        <v>0</v>
      </c>
      <c r="N11" s="53">
        <v>0</v>
      </c>
      <c r="O11" s="53">
        <f>69358.59+1140.38</f>
        <v>70498.97</v>
      </c>
      <c r="P11" s="55">
        <v>60</v>
      </c>
      <c r="Q11" s="54">
        <f t="shared" si="1"/>
        <v>70438.97</v>
      </c>
      <c r="R11" s="54">
        <f t="shared" si="2"/>
        <v>70438.97</v>
      </c>
      <c r="S11" s="55">
        <v>60</v>
      </c>
      <c r="T11" s="71">
        <v>43864</v>
      </c>
      <c r="U11" s="55" t="s">
        <v>40</v>
      </c>
      <c r="V11" s="52" t="s">
        <v>39</v>
      </c>
      <c r="W11" s="52" t="s">
        <v>149</v>
      </c>
      <c r="X11" s="52" t="s">
        <v>206</v>
      </c>
      <c r="Y11" s="52" t="s">
        <v>205</v>
      </c>
      <c r="Z11" s="52" t="s">
        <v>46</v>
      </c>
      <c r="AA11" s="56">
        <v>44036</v>
      </c>
      <c r="AB11" s="52" t="s">
        <v>40</v>
      </c>
      <c r="AC11" s="52" t="s">
        <v>40</v>
      </c>
      <c r="AD11" s="52" t="s">
        <v>79</v>
      </c>
      <c r="AE11" s="52" t="s">
        <v>287</v>
      </c>
      <c r="AF11" s="57" t="s">
        <v>42</v>
      </c>
      <c r="AG11" s="58">
        <v>1475</v>
      </c>
      <c r="AH11" s="59">
        <v>1</v>
      </c>
      <c r="AI11" s="52" t="s">
        <v>299</v>
      </c>
      <c r="AJ11" s="52" t="s">
        <v>298</v>
      </c>
    </row>
    <row r="12" spans="1:36" ht="125.1" customHeight="1" x14ac:dyDescent="0.25">
      <c r="A12" s="34">
        <v>8</v>
      </c>
      <c r="B12" s="52" t="s">
        <v>117</v>
      </c>
      <c r="C12" s="52" t="s">
        <v>38</v>
      </c>
      <c r="D12" s="52" t="s">
        <v>108</v>
      </c>
      <c r="E12" s="58" t="s">
        <v>43</v>
      </c>
      <c r="F12" s="53">
        <v>21</v>
      </c>
      <c r="G12" s="56">
        <v>42535</v>
      </c>
      <c r="H12" s="53">
        <v>27095.13</v>
      </c>
      <c r="I12" s="53">
        <f>4771.74+1466.85+452.09</f>
        <v>6690.68</v>
      </c>
      <c r="J12" s="53">
        <v>0</v>
      </c>
      <c r="K12" s="53">
        <v>0</v>
      </c>
      <c r="L12" s="54">
        <f t="shared" si="0"/>
        <v>33785.81</v>
      </c>
      <c r="M12" s="53">
        <v>0</v>
      </c>
      <c r="N12" s="53">
        <v>0</v>
      </c>
      <c r="O12" s="53">
        <f>60236.22+1003.54</f>
        <v>61239.76</v>
      </c>
      <c r="P12" s="55">
        <v>0</v>
      </c>
      <c r="Q12" s="54">
        <f t="shared" si="1"/>
        <v>61239.76</v>
      </c>
      <c r="R12" s="54">
        <f t="shared" si="2"/>
        <v>61239.76</v>
      </c>
      <c r="S12" s="55">
        <v>0</v>
      </c>
      <c r="T12" s="71" t="s">
        <v>40</v>
      </c>
      <c r="U12" s="53" t="s">
        <v>182</v>
      </c>
      <c r="V12" s="52" t="s">
        <v>39</v>
      </c>
      <c r="W12" s="52" t="s">
        <v>296</v>
      </c>
      <c r="X12" s="52" t="s">
        <v>45</v>
      </c>
      <c r="Y12" s="52" t="s">
        <v>207</v>
      </c>
      <c r="Z12" s="52" t="s">
        <v>208</v>
      </c>
      <c r="AA12" s="56">
        <v>43185</v>
      </c>
      <c r="AB12" s="56">
        <v>44610</v>
      </c>
      <c r="AC12" s="52" t="s">
        <v>81</v>
      </c>
      <c r="AD12" s="52" t="s">
        <v>221</v>
      </c>
      <c r="AE12" s="52" t="s">
        <v>40</v>
      </c>
      <c r="AF12" s="57" t="s">
        <v>42</v>
      </c>
      <c r="AG12" s="58">
        <v>1692</v>
      </c>
      <c r="AH12" s="59">
        <v>1</v>
      </c>
      <c r="AI12" s="52" t="s">
        <v>299</v>
      </c>
      <c r="AJ12" s="52" t="s">
        <v>298</v>
      </c>
    </row>
    <row r="13" spans="1:36" ht="125.1" customHeight="1" x14ac:dyDescent="0.25">
      <c r="A13" s="34">
        <v>9</v>
      </c>
      <c r="B13" s="52" t="s">
        <v>118</v>
      </c>
      <c r="C13" s="52" t="s">
        <v>38</v>
      </c>
      <c r="D13" s="52" t="s">
        <v>108</v>
      </c>
      <c r="E13" s="58" t="s">
        <v>43</v>
      </c>
      <c r="F13" s="53">
        <v>22</v>
      </c>
      <c r="G13" s="56">
        <v>42719</v>
      </c>
      <c r="H13" s="53">
        <v>38763.730000000003</v>
      </c>
      <c r="I13" s="53">
        <f>581.81+12143.83+927.14</f>
        <v>13652.779999999999</v>
      </c>
      <c r="J13" s="53">
        <v>0</v>
      </c>
      <c r="K13" s="53">
        <v>0</v>
      </c>
      <c r="L13" s="54">
        <f t="shared" si="0"/>
        <v>52416.51</v>
      </c>
      <c r="M13" s="53">
        <v>0</v>
      </c>
      <c r="N13" s="53">
        <v>0</v>
      </c>
      <c r="O13" s="53">
        <f>116125.48+3522.51</f>
        <v>119647.98999999999</v>
      </c>
      <c r="P13" s="55">
        <v>19968.14</v>
      </c>
      <c r="Q13" s="54">
        <f t="shared" si="1"/>
        <v>99679.849999999991</v>
      </c>
      <c r="R13" s="54">
        <f t="shared" si="2"/>
        <v>99679.849999999991</v>
      </c>
      <c r="S13" s="89">
        <v>19968.14</v>
      </c>
      <c r="T13" s="71">
        <v>44517</v>
      </c>
      <c r="U13" s="55" t="s">
        <v>40</v>
      </c>
      <c r="V13" s="52" t="s">
        <v>39</v>
      </c>
      <c r="W13" s="52" t="s">
        <v>150</v>
      </c>
      <c r="X13" s="52" t="s">
        <v>45</v>
      </c>
      <c r="Y13" s="52" t="s">
        <v>47</v>
      </c>
      <c r="Z13" s="52" t="s">
        <v>48</v>
      </c>
      <c r="AA13" s="56">
        <v>43489</v>
      </c>
      <c r="AB13" s="52" t="s">
        <v>40</v>
      </c>
      <c r="AC13" s="52" t="s">
        <v>40</v>
      </c>
      <c r="AD13" s="52" t="s">
        <v>228</v>
      </c>
      <c r="AE13" s="52" t="s">
        <v>40</v>
      </c>
      <c r="AF13" s="57" t="s">
        <v>42</v>
      </c>
      <c r="AG13" s="58">
        <v>1630</v>
      </c>
      <c r="AH13" s="59">
        <v>1</v>
      </c>
      <c r="AI13" s="52" t="s">
        <v>299</v>
      </c>
      <c r="AJ13" s="52" t="s">
        <v>298</v>
      </c>
    </row>
    <row r="14" spans="1:36" ht="125.1" customHeight="1" x14ac:dyDescent="0.25">
      <c r="A14" s="34">
        <v>10</v>
      </c>
      <c r="B14" s="52" t="s">
        <v>119</v>
      </c>
      <c r="C14" s="52" t="s">
        <v>38</v>
      </c>
      <c r="D14" s="52" t="s">
        <v>44</v>
      </c>
      <c r="E14" s="58" t="s">
        <v>43</v>
      </c>
      <c r="F14" s="53">
        <v>21</v>
      </c>
      <c r="G14" s="56">
        <v>43046</v>
      </c>
      <c r="H14" s="53">
        <f>62915.55+101682.42</f>
        <v>164597.97</v>
      </c>
      <c r="I14" s="53">
        <f>32421.28+884.48+376.08+292.51</f>
        <v>33974.350000000006</v>
      </c>
      <c r="J14" s="53">
        <v>0</v>
      </c>
      <c r="K14" s="53">
        <v>0</v>
      </c>
      <c r="L14" s="54">
        <f t="shared" si="0"/>
        <v>198572.32</v>
      </c>
      <c r="M14" s="53">
        <v>0</v>
      </c>
      <c r="N14" s="53">
        <v>0</v>
      </c>
      <c r="O14" s="53">
        <f>211530.5+2657.65</f>
        <v>214188.15</v>
      </c>
      <c r="P14" s="55">
        <v>15030.32</v>
      </c>
      <c r="Q14" s="54">
        <f t="shared" si="1"/>
        <v>199157.83</v>
      </c>
      <c r="R14" s="54">
        <f t="shared" si="2"/>
        <v>199157.83</v>
      </c>
      <c r="S14" s="89">
        <v>15030.32</v>
      </c>
      <c r="T14" s="71" t="s">
        <v>40</v>
      </c>
      <c r="U14" s="55" t="s">
        <v>40</v>
      </c>
      <c r="V14" s="52" t="s">
        <v>39</v>
      </c>
      <c r="W14" s="52" t="s">
        <v>151</v>
      </c>
      <c r="X14" s="52" t="s">
        <v>45</v>
      </c>
      <c r="Y14" s="52" t="s">
        <v>209</v>
      </c>
      <c r="Z14" s="52" t="s">
        <v>49</v>
      </c>
      <c r="AA14" s="56">
        <v>43136</v>
      </c>
      <c r="AB14" s="52" t="s">
        <v>40</v>
      </c>
      <c r="AC14" s="52" t="s">
        <v>40</v>
      </c>
      <c r="AD14" s="52" t="s">
        <v>228</v>
      </c>
      <c r="AE14" s="52" t="s">
        <v>287</v>
      </c>
      <c r="AF14" s="57" t="s">
        <v>42</v>
      </c>
      <c r="AG14" s="58">
        <v>1547</v>
      </c>
      <c r="AH14" s="59">
        <v>1</v>
      </c>
      <c r="AI14" s="52" t="s">
        <v>299</v>
      </c>
      <c r="AJ14" s="52" t="s">
        <v>298</v>
      </c>
    </row>
    <row r="15" spans="1:36" ht="125.1" customHeight="1" x14ac:dyDescent="0.25">
      <c r="A15" s="34">
        <v>11</v>
      </c>
      <c r="B15" s="52" t="s">
        <v>120</v>
      </c>
      <c r="C15" s="52" t="s">
        <v>38</v>
      </c>
      <c r="D15" s="52" t="s">
        <v>108</v>
      </c>
      <c r="E15" s="58" t="s">
        <v>70</v>
      </c>
      <c r="F15" s="53">
        <v>19</v>
      </c>
      <c r="G15" s="56">
        <v>42562</v>
      </c>
      <c r="H15" s="53">
        <v>996166.62</v>
      </c>
      <c r="I15" s="53">
        <f>170317.92+24818.88+269725.34</f>
        <v>464862.14</v>
      </c>
      <c r="J15" s="53">
        <v>0</v>
      </c>
      <c r="K15" s="53">
        <v>0</v>
      </c>
      <c r="L15" s="54">
        <f t="shared" si="0"/>
        <v>1461028.76</v>
      </c>
      <c r="M15" s="53">
        <v>0</v>
      </c>
      <c r="N15" s="53">
        <v>0</v>
      </c>
      <c r="O15" s="53">
        <f>996166.62+525736.38+157930.13+83347.54+8700</f>
        <v>1771880.67</v>
      </c>
      <c r="P15" s="55">
        <v>0</v>
      </c>
      <c r="Q15" s="54">
        <f t="shared" si="1"/>
        <v>1771880.67</v>
      </c>
      <c r="R15" s="54">
        <f t="shared" si="2"/>
        <v>1771880.67</v>
      </c>
      <c r="S15" s="55">
        <v>0</v>
      </c>
      <c r="T15" s="71" t="s">
        <v>40</v>
      </c>
      <c r="U15" s="55" t="s">
        <v>40</v>
      </c>
      <c r="V15" s="52" t="s">
        <v>39</v>
      </c>
      <c r="W15" s="52" t="s">
        <v>152</v>
      </c>
      <c r="X15" s="52" t="s">
        <v>210</v>
      </c>
      <c r="Y15" s="52" t="s">
        <v>71</v>
      </c>
      <c r="Z15" s="52" t="s">
        <v>72</v>
      </c>
      <c r="AA15" s="56">
        <v>43349</v>
      </c>
      <c r="AB15" s="52" t="s">
        <v>40</v>
      </c>
      <c r="AC15" s="52" t="s">
        <v>40</v>
      </c>
      <c r="AD15" s="52" t="s">
        <v>228</v>
      </c>
      <c r="AE15" s="52" t="s">
        <v>40</v>
      </c>
      <c r="AF15" s="57" t="s">
        <v>42</v>
      </c>
      <c r="AG15" s="58">
        <v>1451</v>
      </c>
      <c r="AH15" s="59">
        <v>1</v>
      </c>
      <c r="AI15" s="52" t="s">
        <v>299</v>
      </c>
      <c r="AJ15" s="52" t="s">
        <v>298</v>
      </c>
    </row>
    <row r="16" spans="1:36" ht="125.1" customHeight="1" x14ac:dyDescent="0.25">
      <c r="A16" s="34">
        <v>12</v>
      </c>
      <c r="B16" s="52" t="s">
        <v>121</v>
      </c>
      <c r="C16" s="52" t="s">
        <v>38</v>
      </c>
      <c r="D16" s="52" t="s">
        <v>108</v>
      </c>
      <c r="E16" s="58" t="s">
        <v>43</v>
      </c>
      <c r="F16" s="53" t="s">
        <v>104</v>
      </c>
      <c r="G16" s="56" t="s">
        <v>50</v>
      </c>
      <c r="H16" s="53">
        <f>2833.53+39666.62+3333.14+21666.71</f>
        <v>67500</v>
      </c>
      <c r="I16" s="53">
        <f>356.1+11947.61+29.13+407.53+6521.78+201.5+415.53+63.91</f>
        <v>19943.09</v>
      </c>
      <c r="J16" s="53">
        <v>0</v>
      </c>
      <c r="K16" s="53">
        <v>0</v>
      </c>
      <c r="L16" s="54">
        <f t="shared" si="0"/>
        <v>87443.09</v>
      </c>
      <c r="M16" s="53">
        <v>0</v>
      </c>
      <c r="N16" s="53">
        <v>0</v>
      </c>
      <c r="O16" s="53">
        <f>118538.81+1785.38</f>
        <v>120324.19</v>
      </c>
      <c r="P16" s="55">
        <v>0</v>
      </c>
      <c r="Q16" s="54">
        <f t="shared" si="1"/>
        <v>120324.19</v>
      </c>
      <c r="R16" s="54">
        <f t="shared" si="2"/>
        <v>120324.19</v>
      </c>
      <c r="S16" s="55">
        <v>0</v>
      </c>
      <c r="T16" s="71" t="s">
        <v>40</v>
      </c>
      <c r="U16" s="55" t="s">
        <v>40</v>
      </c>
      <c r="V16" s="52" t="s">
        <v>39</v>
      </c>
      <c r="W16" s="52" t="s">
        <v>153</v>
      </c>
      <c r="X16" s="52" t="s">
        <v>45</v>
      </c>
      <c r="Y16" s="52" t="s">
        <v>211</v>
      </c>
      <c r="Z16" s="52" t="s">
        <v>52</v>
      </c>
      <c r="AA16" s="52" t="s">
        <v>289</v>
      </c>
      <c r="AB16" s="56">
        <v>43566</v>
      </c>
      <c r="AC16" s="52" t="s">
        <v>53</v>
      </c>
      <c r="AD16" s="52" t="s">
        <v>221</v>
      </c>
      <c r="AE16" s="52" t="s">
        <v>40</v>
      </c>
      <c r="AF16" s="57" t="s">
        <v>42</v>
      </c>
      <c r="AG16" s="58" t="s">
        <v>54</v>
      </c>
      <c r="AH16" s="59">
        <v>2</v>
      </c>
      <c r="AI16" s="52" t="s">
        <v>299</v>
      </c>
      <c r="AJ16" s="52" t="s">
        <v>298</v>
      </c>
    </row>
    <row r="17" spans="1:36" ht="125.1" customHeight="1" x14ac:dyDescent="0.25">
      <c r="A17" s="34">
        <v>13</v>
      </c>
      <c r="B17" s="52" t="s">
        <v>122</v>
      </c>
      <c r="C17" s="52" t="s">
        <v>38</v>
      </c>
      <c r="D17" s="52" t="s">
        <v>286</v>
      </c>
      <c r="E17" s="58" t="s">
        <v>43</v>
      </c>
      <c r="F17" s="53">
        <v>20</v>
      </c>
      <c r="G17" s="56">
        <v>41435</v>
      </c>
      <c r="H17" s="53">
        <v>0</v>
      </c>
      <c r="I17" s="53">
        <v>12763.21</v>
      </c>
      <c r="J17" s="53">
        <v>0</v>
      </c>
      <c r="K17" s="53">
        <v>0</v>
      </c>
      <c r="L17" s="54">
        <f t="shared" si="0"/>
        <v>12763.21</v>
      </c>
      <c r="M17" s="53">
        <v>0</v>
      </c>
      <c r="N17" s="53">
        <v>0</v>
      </c>
      <c r="O17" s="53">
        <v>43308.85</v>
      </c>
      <c r="P17" s="55">
        <v>3316.7</v>
      </c>
      <c r="Q17" s="54">
        <f t="shared" si="1"/>
        <v>39992.15</v>
      </c>
      <c r="R17" s="54">
        <f t="shared" si="2"/>
        <v>39992.15</v>
      </c>
      <c r="S17" s="55">
        <v>3316.7</v>
      </c>
      <c r="T17" s="71">
        <v>43864</v>
      </c>
      <c r="U17" s="55" t="s">
        <v>40</v>
      </c>
      <c r="V17" s="52" t="s">
        <v>39</v>
      </c>
      <c r="W17" s="52" t="s">
        <v>154</v>
      </c>
      <c r="X17" s="52" t="s">
        <v>215</v>
      </c>
      <c r="Y17" s="52" t="s">
        <v>214</v>
      </c>
      <c r="Z17" s="52" t="s">
        <v>212</v>
      </c>
      <c r="AA17" s="56" t="s">
        <v>213</v>
      </c>
      <c r="AB17" s="52" t="s">
        <v>40</v>
      </c>
      <c r="AC17" s="52" t="s">
        <v>40</v>
      </c>
      <c r="AD17" s="52" t="s">
        <v>288</v>
      </c>
      <c r="AE17" s="52" t="s">
        <v>287</v>
      </c>
      <c r="AF17" s="57" t="s">
        <v>42</v>
      </c>
      <c r="AG17" s="58">
        <v>1407</v>
      </c>
      <c r="AH17" s="59">
        <v>1</v>
      </c>
      <c r="AI17" s="52" t="s">
        <v>299</v>
      </c>
      <c r="AJ17" s="52" t="s">
        <v>298</v>
      </c>
    </row>
    <row r="18" spans="1:36" ht="125.1" customHeight="1" x14ac:dyDescent="0.25">
      <c r="A18" s="34">
        <v>14</v>
      </c>
      <c r="B18" s="52" t="s">
        <v>123</v>
      </c>
      <c r="C18" s="52" t="s">
        <v>38</v>
      </c>
      <c r="D18" s="52" t="s">
        <v>286</v>
      </c>
      <c r="E18" s="58" t="s">
        <v>43</v>
      </c>
      <c r="F18" s="53">
        <v>6.67</v>
      </c>
      <c r="G18" s="56">
        <v>39625</v>
      </c>
      <c r="H18" s="53">
        <v>0</v>
      </c>
      <c r="I18" s="53">
        <v>13476.46</v>
      </c>
      <c r="J18" s="53">
        <v>0</v>
      </c>
      <c r="K18" s="53">
        <v>970.05</v>
      </c>
      <c r="L18" s="54">
        <f t="shared" si="0"/>
        <v>14446.509999999998</v>
      </c>
      <c r="M18" s="53">
        <v>0</v>
      </c>
      <c r="N18" s="53">
        <v>0</v>
      </c>
      <c r="O18" s="53">
        <v>58973.21</v>
      </c>
      <c r="P18" s="55">
        <v>0</v>
      </c>
      <c r="Q18" s="54">
        <f t="shared" si="1"/>
        <v>58973.21</v>
      </c>
      <c r="R18" s="54">
        <f t="shared" si="2"/>
        <v>58973.21</v>
      </c>
      <c r="S18" s="55">
        <v>0</v>
      </c>
      <c r="T18" s="71" t="s">
        <v>40</v>
      </c>
      <c r="U18" s="55" t="s">
        <v>40</v>
      </c>
      <c r="V18" s="52" t="s">
        <v>39</v>
      </c>
      <c r="W18" s="52" t="s">
        <v>155</v>
      </c>
      <c r="X18" s="52" t="s">
        <v>216</v>
      </c>
      <c r="Y18" s="52" t="s">
        <v>218</v>
      </c>
      <c r="Z18" s="52" t="s">
        <v>55</v>
      </c>
      <c r="AA18" s="56">
        <v>43844</v>
      </c>
      <c r="AB18" s="52" t="s">
        <v>40</v>
      </c>
      <c r="AC18" s="52" t="s">
        <v>40</v>
      </c>
      <c r="AD18" s="52" t="s">
        <v>288</v>
      </c>
      <c r="AE18" s="52" t="s">
        <v>287</v>
      </c>
      <c r="AF18" s="57" t="s">
        <v>42</v>
      </c>
      <c r="AG18" s="58">
        <v>731</v>
      </c>
      <c r="AH18" s="59">
        <v>1</v>
      </c>
      <c r="AI18" s="52" t="s">
        <v>299</v>
      </c>
      <c r="AJ18" s="52" t="s">
        <v>298</v>
      </c>
    </row>
    <row r="19" spans="1:36" ht="125.1" customHeight="1" x14ac:dyDescent="0.25">
      <c r="A19" s="34">
        <v>15</v>
      </c>
      <c r="B19" s="52" t="s">
        <v>124</v>
      </c>
      <c r="C19" s="52" t="s">
        <v>38</v>
      </c>
      <c r="D19" s="52" t="s">
        <v>108</v>
      </c>
      <c r="E19" s="58" t="s">
        <v>43</v>
      </c>
      <c r="F19" s="53">
        <v>21</v>
      </c>
      <c r="G19" s="56">
        <v>42785</v>
      </c>
      <c r="H19" s="53">
        <v>11127.31</v>
      </c>
      <c r="I19" s="53">
        <f>261.9+112.13+3.72+147.27</f>
        <v>525.02</v>
      </c>
      <c r="J19" s="53">
        <v>0</v>
      </c>
      <c r="K19" s="53">
        <v>0</v>
      </c>
      <c r="L19" s="54">
        <f t="shared" si="0"/>
        <v>11652.33</v>
      </c>
      <c r="M19" s="53">
        <v>0</v>
      </c>
      <c r="N19" s="53">
        <v>0</v>
      </c>
      <c r="O19" s="53">
        <f>16440.63+328.81</f>
        <v>16769.440000000002</v>
      </c>
      <c r="P19" s="55">
        <v>1.9</v>
      </c>
      <c r="Q19" s="54">
        <f t="shared" si="1"/>
        <v>16767.54</v>
      </c>
      <c r="R19" s="54">
        <f t="shared" si="2"/>
        <v>16767.54</v>
      </c>
      <c r="S19" s="55">
        <v>1.9</v>
      </c>
      <c r="T19" s="71">
        <v>43300</v>
      </c>
      <c r="U19" s="55" t="s">
        <v>40</v>
      </c>
      <c r="V19" s="52" t="s">
        <v>39</v>
      </c>
      <c r="W19" s="52" t="s">
        <v>156</v>
      </c>
      <c r="X19" s="52" t="s">
        <v>78</v>
      </c>
      <c r="Y19" s="52" t="s">
        <v>217</v>
      </c>
      <c r="Z19" s="52" t="s">
        <v>93</v>
      </c>
      <c r="AA19" s="56">
        <v>43234</v>
      </c>
      <c r="AB19" s="56">
        <v>43796</v>
      </c>
      <c r="AC19" s="52" t="s">
        <v>81</v>
      </c>
      <c r="AD19" s="52" t="s">
        <v>221</v>
      </c>
      <c r="AE19" s="52" t="s">
        <v>40</v>
      </c>
      <c r="AF19" s="57" t="s">
        <v>42</v>
      </c>
      <c r="AG19" s="58">
        <v>1289</v>
      </c>
      <c r="AH19" s="59">
        <v>1</v>
      </c>
      <c r="AI19" s="52" t="s">
        <v>299</v>
      </c>
      <c r="AJ19" s="52" t="s">
        <v>298</v>
      </c>
    </row>
    <row r="20" spans="1:36" ht="125.1" customHeight="1" x14ac:dyDescent="0.25">
      <c r="A20" s="34">
        <v>16</v>
      </c>
      <c r="B20" s="52" t="s">
        <v>125</v>
      </c>
      <c r="C20" s="52" t="s">
        <v>38</v>
      </c>
      <c r="D20" s="52" t="s">
        <v>107</v>
      </c>
      <c r="E20" s="58" t="s">
        <v>70</v>
      </c>
      <c r="F20" s="53">
        <v>19</v>
      </c>
      <c r="G20" s="56">
        <v>40189</v>
      </c>
      <c r="H20" s="53">
        <v>0</v>
      </c>
      <c r="I20" s="53">
        <f>4323.73+5447.3</f>
        <v>9771.0299999999988</v>
      </c>
      <c r="J20" s="53">
        <v>0</v>
      </c>
      <c r="K20" s="53">
        <v>0</v>
      </c>
      <c r="L20" s="54">
        <f t="shared" si="0"/>
        <v>9771.0299999999988</v>
      </c>
      <c r="M20" s="53">
        <v>0</v>
      </c>
      <c r="N20" s="53">
        <v>0</v>
      </c>
      <c r="O20" s="53">
        <v>48042.69</v>
      </c>
      <c r="P20" s="55">
        <v>0</v>
      </c>
      <c r="Q20" s="54">
        <f t="shared" si="1"/>
        <v>48042.69</v>
      </c>
      <c r="R20" s="54">
        <f t="shared" si="2"/>
        <v>48042.69</v>
      </c>
      <c r="S20" s="55">
        <v>0</v>
      </c>
      <c r="T20" s="71" t="s">
        <v>40</v>
      </c>
      <c r="U20" s="55" t="s">
        <v>40</v>
      </c>
      <c r="V20" s="52" t="s">
        <v>39</v>
      </c>
      <c r="W20" s="52" t="s">
        <v>157</v>
      </c>
      <c r="X20" s="52" t="s">
        <v>40</v>
      </c>
      <c r="Y20" s="52" t="s">
        <v>219</v>
      </c>
      <c r="Z20" s="52" t="s">
        <v>86</v>
      </c>
      <c r="AA20" s="56">
        <v>41291</v>
      </c>
      <c r="AB20" s="52" t="s">
        <v>40</v>
      </c>
      <c r="AC20" s="52" t="s">
        <v>40</v>
      </c>
      <c r="AD20" s="52" t="s">
        <v>79</v>
      </c>
      <c r="AE20" s="52" t="s">
        <v>287</v>
      </c>
      <c r="AF20" s="57" t="s">
        <v>42</v>
      </c>
      <c r="AG20" s="58">
        <v>3824</v>
      </c>
      <c r="AH20" s="59">
        <v>1</v>
      </c>
      <c r="AI20" s="52" t="s">
        <v>299</v>
      </c>
      <c r="AJ20" s="52" t="s">
        <v>298</v>
      </c>
    </row>
    <row r="21" spans="1:36" ht="125.1" customHeight="1" x14ac:dyDescent="0.25">
      <c r="A21" s="34">
        <v>17</v>
      </c>
      <c r="B21" s="52" t="s">
        <v>223</v>
      </c>
      <c r="C21" s="52" t="s">
        <v>38</v>
      </c>
      <c r="D21" s="52" t="s">
        <v>108</v>
      </c>
      <c r="E21" s="58" t="s">
        <v>43</v>
      </c>
      <c r="F21" s="53">
        <v>21</v>
      </c>
      <c r="G21" s="56">
        <v>42264</v>
      </c>
      <c r="H21" s="53">
        <v>0</v>
      </c>
      <c r="I21" s="53">
        <f>7382.01+4318.83</f>
        <v>11700.84</v>
      </c>
      <c r="J21" s="53">
        <v>0</v>
      </c>
      <c r="K21" s="53">
        <v>1342.72</v>
      </c>
      <c r="L21" s="54">
        <f t="shared" si="0"/>
        <v>13043.56</v>
      </c>
      <c r="M21" s="53">
        <v>0</v>
      </c>
      <c r="N21" s="53">
        <v>0</v>
      </c>
      <c r="O21" s="53">
        <f>44271.76+764.08</f>
        <v>45035.840000000004</v>
      </c>
      <c r="P21" s="55">
        <v>0</v>
      </c>
      <c r="Q21" s="54">
        <f t="shared" si="1"/>
        <v>45035.840000000004</v>
      </c>
      <c r="R21" s="54">
        <f t="shared" si="2"/>
        <v>45035.840000000004</v>
      </c>
      <c r="S21" s="55">
        <v>0</v>
      </c>
      <c r="T21" s="71" t="s">
        <v>40</v>
      </c>
      <c r="U21" s="55" t="s">
        <v>40</v>
      </c>
      <c r="V21" s="52" t="s">
        <v>39</v>
      </c>
      <c r="W21" s="52" t="s">
        <v>224</v>
      </c>
      <c r="X21" s="52" t="s">
        <v>40</v>
      </c>
      <c r="Y21" s="52" t="s">
        <v>225</v>
      </c>
      <c r="Z21" s="52" t="s">
        <v>87</v>
      </c>
      <c r="AA21" s="52" t="s">
        <v>290</v>
      </c>
      <c r="AB21" s="52" t="s">
        <v>293</v>
      </c>
      <c r="AC21" s="52" t="s">
        <v>82</v>
      </c>
      <c r="AD21" s="52" t="s">
        <v>51</v>
      </c>
      <c r="AE21" s="52" t="s">
        <v>40</v>
      </c>
      <c r="AF21" s="57" t="s">
        <v>42</v>
      </c>
      <c r="AG21" s="58">
        <v>1811</v>
      </c>
      <c r="AH21" s="59">
        <v>1</v>
      </c>
      <c r="AI21" s="52" t="s">
        <v>299</v>
      </c>
      <c r="AJ21" s="52" t="s">
        <v>298</v>
      </c>
    </row>
    <row r="22" spans="1:36" ht="125.1" customHeight="1" x14ac:dyDescent="0.25">
      <c r="A22" s="34">
        <v>18</v>
      </c>
      <c r="B22" s="52" t="s">
        <v>126</v>
      </c>
      <c r="C22" s="52" t="s">
        <v>38</v>
      </c>
      <c r="D22" s="52" t="s">
        <v>108</v>
      </c>
      <c r="E22" s="58" t="s">
        <v>43</v>
      </c>
      <c r="F22" s="53">
        <v>17.5</v>
      </c>
      <c r="G22" s="56">
        <v>42987</v>
      </c>
      <c r="H22" s="53">
        <v>33775.86</v>
      </c>
      <c r="I22" s="53">
        <f>23962.89+894.57+105.82+59.06</f>
        <v>25022.34</v>
      </c>
      <c r="J22" s="53">
        <v>0</v>
      </c>
      <c r="K22" s="53">
        <v>0</v>
      </c>
      <c r="L22" s="54">
        <f t="shared" si="0"/>
        <v>58798.2</v>
      </c>
      <c r="M22" s="53">
        <v>0</v>
      </c>
      <c r="N22" s="53">
        <v>0</v>
      </c>
      <c r="O22" s="53">
        <v>218016.96</v>
      </c>
      <c r="P22" s="55">
        <v>140852.6</v>
      </c>
      <c r="Q22" s="54">
        <f t="shared" si="1"/>
        <v>77164.359999999986</v>
      </c>
      <c r="R22" s="54">
        <f t="shared" si="2"/>
        <v>77164.359999999986</v>
      </c>
      <c r="S22" s="89">
        <v>140852.6</v>
      </c>
      <c r="T22" s="71">
        <v>44679</v>
      </c>
      <c r="U22" s="55" t="s">
        <v>40</v>
      </c>
      <c r="V22" s="52" t="s">
        <v>39</v>
      </c>
      <c r="W22" s="52" t="s">
        <v>158</v>
      </c>
      <c r="X22" s="52" t="s">
        <v>40</v>
      </c>
      <c r="Y22" s="52" t="s">
        <v>226</v>
      </c>
      <c r="Z22" s="52" t="s">
        <v>227</v>
      </c>
      <c r="AA22" s="56">
        <v>43297</v>
      </c>
      <c r="AB22" s="52" t="s">
        <v>40</v>
      </c>
      <c r="AC22" s="52" t="s">
        <v>40</v>
      </c>
      <c r="AD22" s="52" t="s">
        <v>228</v>
      </c>
      <c r="AE22" s="52" t="s">
        <v>40</v>
      </c>
      <c r="AF22" s="57" t="s">
        <v>42</v>
      </c>
      <c r="AG22" s="58">
        <v>1513</v>
      </c>
      <c r="AH22" s="59">
        <v>1</v>
      </c>
      <c r="AI22" s="52" t="s">
        <v>299</v>
      </c>
      <c r="AJ22" s="52" t="s">
        <v>298</v>
      </c>
    </row>
    <row r="23" spans="1:36" ht="125.1" customHeight="1" x14ac:dyDescent="0.25">
      <c r="A23" s="34">
        <v>19</v>
      </c>
      <c r="B23" s="52" t="s">
        <v>229</v>
      </c>
      <c r="C23" s="52" t="s">
        <v>38</v>
      </c>
      <c r="D23" s="52" t="s">
        <v>108</v>
      </c>
      <c r="E23" s="58" t="s">
        <v>43</v>
      </c>
      <c r="F23" s="53">
        <v>19.75</v>
      </c>
      <c r="G23" s="56">
        <v>42219</v>
      </c>
      <c r="H23" s="53">
        <v>298164.98</v>
      </c>
      <c r="I23" s="53">
        <f>116297.7+141126.02</f>
        <v>257423.71999999997</v>
      </c>
      <c r="J23" s="53">
        <v>0</v>
      </c>
      <c r="K23" s="53">
        <v>7945.48</v>
      </c>
      <c r="L23" s="54">
        <f t="shared" si="0"/>
        <v>563534.17999999993</v>
      </c>
      <c r="M23" s="53">
        <v>0</v>
      </c>
      <c r="N23" s="53">
        <v>0</v>
      </c>
      <c r="O23" s="53">
        <v>482493.37</v>
      </c>
      <c r="P23" s="55">
        <v>0</v>
      </c>
      <c r="Q23" s="54">
        <f t="shared" si="1"/>
        <v>482493.37</v>
      </c>
      <c r="R23" s="54">
        <f>L23</f>
        <v>563534.17999999993</v>
      </c>
      <c r="S23" s="55">
        <v>0</v>
      </c>
      <c r="T23" s="71" t="s">
        <v>40</v>
      </c>
      <c r="U23" s="55" t="s">
        <v>40</v>
      </c>
      <c r="V23" s="52" t="s">
        <v>39</v>
      </c>
      <c r="W23" s="52" t="s">
        <v>230</v>
      </c>
      <c r="X23" s="52" t="s">
        <v>231</v>
      </c>
      <c r="Y23" s="52" t="s">
        <v>233</v>
      </c>
      <c r="Z23" s="52" t="s">
        <v>232</v>
      </c>
      <c r="AA23" s="52" t="s">
        <v>291</v>
      </c>
      <c r="AB23" s="52" t="s">
        <v>40</v>
      </c>
      <c r="AC23" s="52" t="s">
        <v>40</v>
      </c>
      <c r="AD23" s="52" t="s">
        <v>228</v>
      </c>
      <c r="AE23" s="52" t="s">
        <v>40</v>
      </c>
      <c r="AF23" s="57" t="s">
        <v>42</v>
      </c>
      <c r="AG23" s="58">
        <v>1794</v>
      </c>
      <c r="AH23" s="59">
        <v>1</v>
      </c>
      <c r="AI23" s="52" t="s">
        <v>299</v>
      </c>
      <c r="AJ23" s="52" t="s">
        <v>298</v>
      </c>
    </row>
    <row r="24" spans="1:36" ht="125.1" customHeight="1" x14ac:dyDescent="0.25">
      <c r="A24" s="34">
        <v>20</v>
      </c>
      <c r="B24" s="52" t="s">
        <v>127</v>
      </c>
      <c r="C24" s="52" t="s">
        <v>38</v>
      </c>
      <c r="D24" s="52" t="s">
        <v>44</v>
      </c>
      <c r="E24" s="58" t="s">
        <v>70</v>
      </c>
      <c r="F24" s="53">
        <v>18</v>
      </c>
      <c r="G24" s="56">
        <v>41387</v>
      </c>
      <c r="H24" s="53">
        <v>115949.8</v>
      </c>
      <c r="I24" s="53">
        <f>62974.31+4607.65+171089.28</f>
        <v>238671.24</v>
      </c>
      <c r="J24" s="53">
        <v>0</v>
      </c>
      <c r="K24" s="53">
        <v>0</v>
      </c>
      <c r="L24" s="54">
        <f t="shared" si="0"/>
        <v>354621.04</v>
      </c>
      <c r="M24" s="53">
        <v>0</v>
      </c>
      <c r="N24" s="53">
        <v>0</v>
      </c>
      <c r="O24" s="53">
        <v>323080.49</v>
      </c>
      <c r="P24" s="55">
        <v>13355.43</v>
      </c>
      <c r="Q24" s="54">
        <f t="shared" si="1"/>
        <v>309725.06</v>
      </c>
      <c r="R24" s="54">
        <f>Q24</f>
        <v>309725.06</v>
      </c>
      <c r="S24" s="55">
        <v>13355.43</v>
      </c>
      <c r="T24" s="71">
        <v>44323</v>
      </c>
      <c r="U24" s="55" t="s">
        <v>40</v>
      </c>
      <c r="V24" s="52" t="s">
        <v>39</v>
      </c>
      <c r="W24" s="52" t="s">
        <v>159</v>
      </c>
      <c r="X24" s="52" t="s">
        <v>235</v>
      </c>
      <c r="Y24" s="52" t="s">
        <v>236</v>
      </c>
      <c r="Z24" s="52" t="s">
        <v>234</v>
      </c>
      <c r="AA24" s="56">
        <v>42663</v>
      </c>
      <c r="AB24" s="52" t="s">
        <v>40</v>
      </c>
      <c r="AC24" s="52" t="s">
        <v>40</v>
      </c>
      <c r="AD24" s="52" t="s">
        <v>228</v>
      </c>
      <c r="AE24" s="52" t="s">
        <v>287</v>
      </c>
      <c r="AF24" s="57" t="s">
        <v>42</v>
      </c>
      <c r="AG24" s="58">
        <v>2626</v>
      </c>
      <c r="AH24" s="59">
        <v>1</v>
      </c>
      <c r="AI24" s="52" t="s">
        <v>299</v>
      </c>
      <c r="AJ24" s="52" t="s">
        <v>298</v>
      </c>
    </row>
    <row r="25" spans="1:36" ht="125.1" customHeight="1" x14ac:dyDescent="0.25">
      <c r="A25" s="34">
        <v>21</v>
      </c>
      <c r="B25" s="52" t="s">
        <v>238</v>
      </c>
      <c r="C25" s="52" t="s">
        <v>38</v>
      </c>
      <c r="D25" s="52" t="s">
        <v>44</v>
      </c>
      <c r="E25" s="58" t="s">
        <v>43</v>
      </c>
      <c r="F25" s="53">
        <v>5.5</v>
      </c>
      <c r="G25" s="56">
        <v>40276</v>
      </c>
      <c r="H25" s="53">
        <v>0</v>
      </c>
      <c r="I25" s="53">
        <f>4693.83+11.04</f>
        <v>4704.87</v>
      </c>
      <c r="J25" s="53">
        <v>0</v>
      </c>
      <c r="K25" s="53">
        <v>1725.63</v>
      </c>
      <c r="L25" s="54">
        <f t="shared" si="0"/>
        <v>6430.5</v>
      </c>
      <c r="M25" s="53">
        <v>0</v>
      </c>
      <c r="N25" s="53">
        <v>0</v>
      </c>
      <c r="O25" s="53">
        <v>57007.64</v>
      </c>
      <c r="P25" s="55">
        <v>0</v>
      </c>
      <c r="Q25" s="54">
        <f t="shared" si="1"/>
        <v>57007.64</v>
      </c>
      <c r="R25" s="54">
        <f>Q25</f>
        <v>57007.64</v>
      </c>
      <c r="S25" s="55">
        <v>0</v>
      </c>
      <c r="T25" s="71" t="s">
        <v>40</v>
      </c>
      <c r="U25" s="55" t="s">
        <v>40</v>
      </c>
      <c r="V25" s="52" t="s">
        <v>39</v>
      </c>
      <c r="W25" s="52" t="s">
        <v>237</v>
      </c>
      <c r="X25" s="52" t="s">
        <v>239</v>
      </c>
      <c r="Y25" s="52" t="s">
        <v>94</v>
      </c>
      <c r="Z25" s="52" t="s">
        <v>95</v>
      </c>
      <c r="AA25" s="56">
        <v>42139</v>
      </c>
      <c r="AB25" s="56">
        <v>43670</v>
      </c>
      <c r="AC25" s="52" t="s">
        <v>81</v>
      </c>
      <c r="AD25" s="52" t="s">
        <v>221</v>
      </c>
      <c r="AE25" s="52" t="s">
        <v>287</v>
      </c>
      <c r="AF25" s="57" t="s">
        <v>42</v>
      </c>
      <c r="AG25" s="58">
        <v>2988</v>
      </c>
      <c r="AH25" s="59">
        <v>1</v>
      </c>
      <c r="AI25" s="52" t="s">
        <v>299</v>
      </c>
      <c r="AJ25" s="52" t="s">
        <v>298</v>
      </c>
    </row>
    <row r="26" spans="1:36" ht="125.1" customHeight="1" x14ac:dyDescent="0.25">
      <c r="A26" s="34">
        <v>22</v>
      </c>
      <c r="B26" s="52" t="s">
        <v>110</v>
      </c>
      <c r="C26" s="52" t="s">
        <v>38</v>
      </c>
      <c r="D26" s="52" t="s">
        <v>44</v>
      </c>
      <c r="E26" s="58" t="s">
        <v>43</v>
      </c>
      <c r="F26" s="53">
        <v>6.67</v>
      </c>
      <c r="G26" s="56">
        <v>40014</v>
      </c>
      <c r="H26" s="53">
        <v>0</v>
      </c>
      <c r="I26" s="53">
        <f>304.93+5639.79</f>
        <v>5944.72</v>
      </c>
      <c r="J26" s="53">
        <v>0</v>
      </c>
      <c r="K26" s="53">
        <v>0</v>
      </c>
      <c r="L26" s="54">
        <f t="shared" si="0"/>
        <v>5944.72</v>
      </c>
      <c r="M26" s="53">
        <v>0</v>
      </c>
      <c r="N26" s="53">
        <v>0</v>
      </c>
      <c r="O26" s="53">
        <v>39322.83</v>
      </c>
      <c r="P26" s="55">
        <v>0</v>
      </c>
      <c r="Q26" s="54">
        <f t="shared" si="1"/>
        <v>39322.83</v>
      </c>
      <c r="R26" s="54">
        <f>Q26</f>
        <v>39322.83</v>
      </c>
      <c r="S26" s="55">
        <v>0</v>
      </c>
      <c r="T26" s="71" t="s">
        <v>40</v>
      </c>
      <c r="U26" s="55" t="s">
        <v>40</v>
      </c>
      <c r="V26" s="52" t="s">
        <v>39</v>
      </c>
      <c r="W26" s="52" t="s">
        <v>160</v>
      </c>
      <c r="X26" s="52" t="s">
        <v>240</v>
      </c>
      <c r="Y26" s="52" t="s">
        <v>56</v>
      </c>
      <c r="Z26" s="52" t="s">
        <v>57</v>
      </c>
      <c r="AA26" s="56">
        <v>41502</v>
      </c>
      <c r="AB26" s="52" t="s">
        <v>40</v>
      </c>
      <c r="AC26" s="52" t="s">
        <v>40</v>
      </c>
      <c r="AD26" s="52" t="s">
        <v>228</v>
      </c>
      <c r="AE26" s="52" t="s">
        <v>287</v>
      </c>
      <c r="AF26" s="57" t="s">
        <v>42</v>
      </c>
      <c r="AG26" s="58">
        <v>3154</v>
      </c>
      <c r="AH26" s="59">
        <v>1</v>
      </c>
      <c r="AI26" s="52" t="s">
        <v>299</v>
      </c>
      <c r="AJ26" s="52" t="s">
        <v>298</v>
      </c>
    </row>
    <row r="27" spans="1:36" ht="125.1" customHeight="1" x14ac:dyDescent="0.25">
      <c r="A27" s="34">
        <v>23</v>
      </c>
      <c r="B27" s="52" t="s">
        <v>128</v>
      </c>
      <c r="C27" s="52" t="s">
        <v>38</v>
      </c>
      <c r="D27" s="52" t="s">
        <v>44</v>
      </c>
      <c r="E27" s="58" t="s">
        <v>70</v>
      </c>
      <c r="F27" s="53">
        <v>19.75</v>
      </c>
      <c r="G27" s="56">
        <v>42455</v>
      </c>
      <c r="H27" s="53">
        <v>303349.78000000003</v>
      </c>
      <c r="I27" s="53">
        <f>154525.85+30149.76</f>
        <v>184675.61000000002</v>
      </c>
      <c r="J27" s="53">
        <v>0</v>
      </c>
      <c r="K27" s="53">
        <v>0</v>
      </c>
      <c r="L27" s="54">
        <f t="shared" si="0"/>
        <v>488025.39</v>
      </c>
      <c r="M27" s="53">
        <v>0</v>
      </c>
      <c r="N27" s="53">
        <v>0</v>
      </c>
      <c r="O27" s="53">
        <v>727270.9</v>
      </c>
      <c r="P27" s="55">
        <v>26313.7</v>
      </c>
      <c r="Q27" s="54">
        <f t="shared" si="1"/>
        <v>700957.20000000007</v>
      </c>
      <c r="R27" s="54">
        <f>Q27</f>
        <v>700957.20000000007</v>
      </c>
      <c r="S27" s="89">
        <v>26313.7</v>
      </c>
      <c r="T27" s="71">
        <v>43342</v>
      </c>
      <c r="U27" s="55" t="s">
        <v>40</v>
      </c>
      <c r="V27" s="52" t="s">
        <v>39</v>
      </c>
      <c r="W27" s="52" t="s">
        <v>161</v>
      </c>
      <c r="X27" s="52" t="s">
        <v>40</v>
      </c>
      <c r="Y27" s="52" t="s">
        <v>73</v>
      </c>
      <c r="Z27" s="52" t="s">
        <v>74</v>
      </c>
      <c r="AA27" s="56">
        <v>43243</v>
      </c>
      <c r="AB27" s="56">
        <v>43581</v>
      </c>
      <c r="AC27" s="52" t="s">
        <v>75</v>
      </c>
      <c r="AD27" s="52" t="s">
        <v>221</v>
      </c>
      <c r="AE27" s="52" t="s">
        <v>287</v>
      </c>
      <c r="AF27" s="57" t="s">
        <v>42</v>
      </c>
      <c r="AG27" s="58">
        <v>1492</v>
      </c>
      <c r="AH27" s="59">
        <v>1</v>
      </c>
      <c r="AI27" s="52" t="s">
        <v>299</v>
      </c>
      <c r="AJ27" s="52" t="s">
        <v>298</v>
      </c>
    </row>
    <row r="28" spans="1:36" ht="125.1" customHeight="1" x14ac:dyDescent="0.25">
      <c r="A28" s="34">
        <v>24</v>
      </c>
      <c r="B28" s="52" t="s">
        <v>129</v>
      </c>
      <c r="C28" s="52" t="s">
        <v>38</v>
      </c>
      <c r="D28" s="52" t="s">
        <v>107</v>
      </c>
      <c r="E28" s="58" t="s">
        <v>70</v>
      </c>
      <c r="F28" s="53">
        <v>19</v>
      </c>
      <c r="G28" s="56">
        <v>40354</v>
      </c>
      <c r="H28" s="53">
        <v>19849.150000000001</v>
      </c>
      <c r="I28" s="53">
        <f>6217.62+12278.57+30895.74</f>
        <v>49391.93</v>
      </c>
      <c r="J28" s="53">
        <v>0</v>
      </c>
      <c r="K28" s="53">
        <v>627.55999999999995</v>
      </c>
      <c r="L28" s="54">
        <f t="shared" si="0"/>
        <v>69868.639999999999</v>
      </c>
      <c r="M28" s="53">
        <v>0</v>
      </c>
      <c r="N28" s="53">
        <v>0</v>
      </c>
      <c r="O28" s="53">
        <v>35798.28</v>
      </c>
      <c r="P28" s="55">
        <v>0</v>
      </c>
      <c r="Q28" s="54">
        <f t="shared" si="1"/>
        <v>35798.28</v>
      </c>
      <c r="R28" s="54">
        <f>L28</f>
        <v>69868.639999999999</v>
      </c>
      <c r="S28" s="55">
        <v>0</v>
      </c>
      <c r="T28" s="71" t="s">
        <v>40</v>
      </c>
      <c r="U28" s="55" t="s">
        <v>40</v>
      </c>
      <c r="V28" s="52" t="s">
        <v>39</v>
      </c>
      <c r="W28" s="52" t="s">
        <v>162</v>
      </c>
      <c r="X28" s="52" t="s">
        <v>76</v>
      </c>
      <c r="Y28" s="52" t="s">
        <v>77</v>
      </c>
      <c r="Z28" s="52" t="s">
        <v>241</v>
      </c>
      <c r="AA28" s="56">
        <v>41563</v>
      </c>
      <c r="AB28" s="56">
        <v>41880</v>
      </c>
      <c r="AC28" s="52" t="s">
        <v>85</v>
      </c>
      <c r="AD28" s="52" t="s">
        <v>221</v>
      </c>
      <c r="AE28" s="52" t="s">
        <v>287</v>
      </c>
      <c r="AF28" s="57" t="s">
        <v>42</v>
      </c>
      <c r="AG28" s="58">
        <v>3659</v>
      </c>
      <c r="AH28" s="59">
        <v>1</v>
      </c>
      <c r="AI28" s="52" t="s">
        <v>299</v>
      </c>
      <c r="AJ28" s="52" t="s">
        <v>298</v>
      </c>
    </row>
    <row r="29" spans="1:36" ht="125.1" customHeight="1" x14ac:dyDescent="0.25">
      <c r="A29" s="34">
        <v>25</v>
      </c>
      <c r="B29" s="52" t="s">
        <v>130</v>
      </c>
      <c r="C29" s="52" t="s">
        <v>38</v>
      </c>
      <c r="D29" s="52" t="s">
        <v>108</v>
      </c>
      <c r="E29" s="58" t="s">
        <v>43</v>
      </c>
      <c r="F29" s="53">
        <v>19</v>
      </c>
      <c r="G29" s="56">
        <v>41984</v>
      </c>
      <c r="H29" s="53">
        <v>0</v>
      </c>
      <c r="I29" s="53">
        <f>1797.92+2810.36</f>
        <v>4608.2800000000007</v>
      </c>
      <c r="J29" s="53">
        <v>0</v>
      </c>
      <c r="K29" s="53">
        <v>0</v>
      </c>
      <c r="L29" s="54">
        <f t="shared" si="0"/>
        <v>4608.2800000000007</v>
      </c>
      <c r="M29" s="53">
        <v>0</v>
      </c>
      <c r="N29" s="53">
        <v>0</v>
      </c>
      <c r="O29" s="53">
        <v>26587.439999999999</v>
      </c>
      <c r="P29" s="55">
        <v>0</v>
      </c>
      <c r="Q29" s="54">
        <f t="shared" si="1"/>
        <v>26587.439999999999</v>
      </c>
      <c r="R29" s="54">
        <f>Q29</f>
        <v>26587.439999999999</v>
      </c>
      <c r="S29" s="55">
        <v>0</v>
      </c>
      <c r="T29" s="71" t="s">
        <v>40</v>
      </c>
      <c r="U29" s="55" t="s">
        <v>40</v>
      </c>
      <c r="V29" s="52" t="s">
        <v>39</v>
      </c>
      <c r="W29" s="52" t="s">
        <v>242</v>
      </c>
      <c r="X29" s="52" t="s">
        <v>45</v>
      </c>
      <c r="Y29" s="52" t="s">
        <v>243</v>
      </c>
      <c r="Z29" s="52" t="s">
        <v>58</v>
      </c>
      <c r="AA29" s="56">
        <v>43348</v>
      </c>
      <c r="AB29" s="52" t="s">
        <v>40</v>
      </c>
      <c r="AC29" s="52" t="s">
        <v>40</v>
      </c>
      <c r="AD29" s="52" t="s">
        <v>228</v>
      </c>
      <c r="AE29" s="52" t="s">
        <v>40</v>
      </c>
      <c r="AF29" s="57" t="s">
        <v>42</v>
      </c>
      <c r="AG29" s="58">
        <v>2393</v>
      </c>
      <c r="AH29" s="59">
        <v>1</v>
      </c>
      <c r="AI29" s="52" t="s">
        <v>299</v>
      </c>
      <c r="AJ29" s="52" t="s">
        <v>298</v>
      </c>
    </row>
    <row r="30" spans="1:36" ht="125.1" customHeight="1" x14ac:dyDescent="0.25">
      <c r="A30" s="34">
        <v>26</v>
      </c>
      <c r="B30" s="52" t="s">
        <v>131</v>
      </c>
      <c r="C30" s="52" t="s">
        <v>38</v>
      </c>
      <c r="D30" s="52" t="s">
        <v>108</v>
      </c>
      <c r="E30" s="58" t="s">
        <v>43</v>
      </c>
      <c r="F30" s="53">
        <v>19</v>
      </c>
      <c r="G30" s="56">
        <v>42720</v>
      </c>
      <c r="H30" s="53">
        <v>73694.03</v>
      </c>
      <c r="I30" s="53">
        <f>10699.48+938.45+997.39</f>
        <v>12635.32</v>
      </c>
      <c r="J30" s="53">
        <v>0</v>
      </c>
      <c r="K30" s="53">
        <v>0</v>
      </c>
      <c r="L30" s="54">
        <f t="shared" si="0"/>
        <v>86329.35</v>
      </c>
      <c r="M30" s="53">
        <v>0</v>
      </c>
      <c r="N30" s="53">
        <v>0</v>
      </c>
      <c r="O30" s="53">
        <f>132994.46+2676.7</f>
        <v>135671.16</v>
      </c>
      <c r="P30" s="55">
        <v>0</v>
      </c>
      <c r="Q30" s="54">
        <f t="shared" si="1"/>
        <v>135671.16</v>
      </c>
      <c r="R30" s="54">
        <f>Q30</f>
        <v>135671.16</v>
      </c>
      <c r="S30" s="55">
        <v>0</v>
      </c>
      <c r="T30" s="71" t="s">
        <v>40</v>
      </c>
      <c r="U30" s="55" t="s">
        <v>40</v>
      </c>
      <c r="V30" s="52" t="s">
        <v>39</v>
      </c>
      <c r="W30" s="52" t="s">
        <v>163</v>
      </c>
      <c r="X30" s="52" t="s">
        <v>245</v>
      </c>
      <c r="Y30" s="52" t="s">
        <v>244</v>
      </c>
      <c r="Z30" s="52" t="s">
        <v>246</v>
      </c>
      <c r="AA30" s="56">
        <v>43291</v>
      </c>
      <c r="AB30" s="52" t="s">
        <v>40</v>
      </c>
      <c r="AC30" s="52" t="s">
        <v>40</v>
      </c>
      <c r="AD30" s="52" t="s">
        <v>228</v>
      </c>
      <c r="AE30" s="52" t="s">
        <v>40</v>
      </c>
      <c r="AF30" s="57" t="s">
        <v>42</v>
      </c>
      <c r="AG30" s="58">
        <v>1597</v>
      </c>
      <c r="AH30" s="59">
        <v>1</v>
      </c>
      <c r="AI30" s="52" t="s">
        <v>299</v>
      </c>
      <c r="AJ30" s="52" t="s">
        <v>298</v>
      </c>
    </row>
    <row r="31" spans="1:36" ht="125.1" customHeight="1" x14ac:dyDescent="0.25">
      <c r="A31" s="34">
        <v>27</v>
      </c>
      <c r="B31" s="52" t="s">
        <v>132</v>
      </c>
      <c r="C31" s="52" t="s">
        <v>38</v>
      </c>
      <c r="D31" s="52" t="s">
        <v>108</v>
      </c>
      <c r="E31" s="58" t="s">
        <v>43</v>
      </c>
      <c r="F31" s="53">
        <v>23</v>
      </c>
      <c r="G31" s="56">
        <v>42772</v>
      </c>
      <c r="H31" s="53">
        <v>1236.8800000000001</v>
      </c>
      <c r="I31" s="53">
        <v>2.34</v>
      </c>
      <c r="J31" s="53">
        <v>0</v>
      </c>
      <c r="K31" s="53">
        <v>0</v>
      </c>
      <c r="L31" s="54">
        <f t="shared" si="0"/>
        <v>1239.22</v>
      </c>
      <c r="M31" s="53">
        <v>0</v>
      </c>
      <c r="N31" s="53">
        <v>0</v>
      </c>
      <c r="O31" s="53">
        <v>2007.83</v>
      </c>
      <c r="P31" s="55">
        <v>0</v>
      </c>
      <c r="Q31" s="54">
        <f t="shared" si="1"/>
        <v>2007.83</v>
      </c>
      <c r="R31" s="54">
        <f>Q31</f>
        <v>2007.83</v>
      </c>
      <c r="S31" s="55">
        <v>0</v>
      </c>
      <c r="T31" s="71" t="s">
        <v>40</v>
      </c>
      <c r="U31" s="55" t="s">
        <v>40</v>
      </c>
      <c r="V31" s="52" t="s">
        <v>39</v>
      </c>
      <c r="W31" s="52" t="s">
        <v>164</v>
      </c>
      <c r="X31" s="52" t="s">
        <v>45</v>
      </c>
      <c r="Y31" s="52" t="s">
        <v>248</v>
      </c>
      <c r="Z31" s="52" t="s">
        <v>247</v>
      </c>
      <c r="AA31" s="56">
        <v>44260</v>
      </c>
      <c r="AB31" s="52" t="s">
        <v>40</v>
      </c>
      <c r="AC31" s="52" t="s">
        <v>40</v>
      </c>
      <c r="AD31" s="52" t="s">
        <v>228</v>
      </c>
      <c r="AE31" s="52" t="s">
        <v>40</v>
      </c>
      <c r="AF31" s="57" t="s">
        <v>42</v>
      </c>
      <c r="AG31" s="58">
        <v>1330</v>
      </c>
      <c r="AH31" s="59">
        <v>1</v>
      </c>
      <c r="AI31" s="52" t="s">
        <v>299</v>
      </c>
      <c r="AJ31" s="52" t="s">
        <v>298</v>
      </c>
    </row>
    <row r="32" spans="1:36" ht="125.1" customHeight="1" x14ac:dyDescent="0.25">
      <c r="A32" s="34">
        <v>28</v>
      </c>
      <c r="B32" s="52" t="s">
        <v>111</v>
      </c>
      <c r="C32" s="52" t="s">
        <v>38</v>
      </c>
      <c r="D32" s="52" t="s">
        <v>44</v>
      </c>
      <c r="E32" s="58" t="s">
        <v>43</v>
      </c>
      <c r="F32" s="53">
        <v>5.5</v>
      </c>
      <c r="G32" s="56">
        <v>40066</v>
      </c>
      <c r="H32" s="53">
        <v>0</v>
      </c>
      <c r="I32" s="53">
        <f>50.81+2840.91</f>
        <v>2891.72</v>
      </c>
      <c r="J32" s="53">
        <v>0</v>
      </c>
      <c r="K32" s="53">
        <v>539.82000000000005</v>
      </c>
      <c r="L32" s="54">
        <f t="shared" si="0"/>
        <v>3431.54</v>
      </c>
      <c r="M32" s="53">
        <v>0</v>
      </c>
      <c r="N32" s="53">
        <v>0</v>
      </c>
      <c r="O32" s="53">
        <f>12018.98+14035.43</f>
        <v>26054.41</v>
      </c>
      <c r="P32" s="55">
        <v>10535.63</v>
      </c>
      <c r="Q32" s="54">
        <f t="shared" si="1"/>
        <v>15518.78</v>
      </c>
      <c r="R32" s="54">
        <f>Q32</f>
        <v>15518.78</v>
      </c>
      <c r="S32" s="55">
        <v>0</v>
      </c>
      <c r="T32" s="71" t="s">
        <v>40</v>
      </c>
      <c r="U32" s="55" t="s">
        <v>40</v>
      </c>
      <c r="V32" s="52" t="s">
        <v>39</v>
      </c>
      <c r="W32" s="52" t="s">
        <v>165</v>
      </c>
      <c r="X32" s="52" t="s">
        <v>40</v>
      </c>
      <c r="Y32" s="52" t="s">
        <v>250</v>
      </c>
      <c r="Z32" s="52" t="s">
        <v>249</v>
      </c>
      <c r="AA32" s="52" t="s">
        <v>292</v>
      </c>
      <c r="AB32" s="52" t="s">
        <v>40</v>
      </c>
      <c r="AC32" s="52" t="s">
        <v>40</v>
      </c>
      <c r="AD32" s="52" t="s">
        <v>228</v>
      </c>
      <c r="AE32" s="52" t="s">
        <v>287</v>
      </c>
      <c r="AF32" s="57" t="s">
        <v>42</v>
      </c>
      <c r="AG32" s="58">
        <v>1096</v>
      </c>
      <c r="AH32" s="59">
        <v>1</v>
      </c>
      <c r="AI32" s="52" t="s">
        <v>299</v>
      </c>
      <c r="AJ32" s="52" t="s">
        <v>298</v>
      </c>
    </row>
    <row r="33" spans="1:36" ht="125.1" customHeight="1" x14ac:dyDescent="0.25">
      <c r="A33" s="34">
        <v>29</v>
      </c>
      <c r="B33" s="52" t="s">
        <v>133</v>
      </c>
      <c r="C33" s="52" t="s">
        <v>38</v>
      </c>
      <c r="D33" s="52" t="s">
        <v>107</v>
      </c>
      <c r="E33" s="58" t="s">
        <v>43</v>
      </c>
      <c r="F33" s="53">
        <v>22</v>
      </c>
      <c r="G33" s="56">
        <v>41995</v>
      </c>
      <c r="H33" s="53">
        <v>0</v>
      </c>
      <c r="I33" s="53">
        <f>2511.36+12923.72</f>
        <v>15435.08</v>
      </c>
      <c r="J33" s="53">
        <v>0</v>
      </c>
      <c r="K33" s="53">
        <v>0</v>
      </c>
      <c r="L33" s="54">
        <f t="shared" si="0"/>
        <v>15435.08</v>
      </c>
      <c r="M33" s="53">
        <v>0</v>
      </c>
      <c r="N33" s="53">
        <v>0</v>
      </c>
      <c r="O33" s="53">
        <v>328031.43</v>
      </c>
      <c r="P33" s="55">
        <f>10+10+288392.56+10450.88</f>
        <v>298863.44</v>
      </c>
      <c r="Q33" s="54">
        <f t="shared" si="1"/>
        <v>29167.989999999991</v>
      </c>
      <c r="R33" s="54">
        <f>Q33</f>
        <v>29167.989999999991</v>
      </c>
      <c r="S33" s="55">
        <v>10</v>
      </c>
      <c r="T33" s="71">
        <v>42935</v>
      </c>
      <c r="U33" s="55" t="s">
        <v>40</v>
      </c>
      <c r="V33" s="52" t="s">
        <v>39</v>
      </c>
      <c r="W33" s="52" t="s">
        <v>252</v>
      </c>
      <c r="X33" s="52" t="s">
        <v>251</v>
      </c>
      <c r="Y33" s="52" t="s">
        <v>41</v>
      </c>
      <c r="Z33" s="52" t="s">
        <v>253</v>
      </c>
      <c r="AA33" s="56">
        <v>41739</v>
      </c>
      <c r="AB33" s="52" t="s">
        <v>40</v>
      </c>
      <c r="AC33" s="52" t="s">
        <v>40</v>
      </c>
      <c r="AD33" s="52" t="s">
        <v>228</v>
      </c>
      <c r="AE33" s="52" t="s">
        <v>287</v>
      </c>
      <c r="AF33" s="57" t="s">
        <v>42</v>
      </c>
      <c r="AG33" s="58">
        <v>2884</v>
      </c>
      <c r="AH33" s="59">
        <v>1</v>
      </c>
      <c r="AI33" s="52" t="s">
        <v>299</v>
      </c>
      <c r="AJ33" s="52" t="s">
        <v>298</v>
      </c>
    </row>
    <row r="34" spans="1:36" ht="125.1" customHeight="1" x14ac:dyDescent="0.25">
      <c r="A34" s="34">
        <v>30</v>
      </c>
      <c r="B34" s="52" t="s">
        <v>134</v>
      </c>
      <c r="C34" s="52" t="s">
        <v>38</v>
      </c>
      <c r="D34" s="52" t="s">
        <v>107</v>
      </c>
      <c r="E34" s="58" t="s">
        <v>70</v>
      </c>
      <c r="F34" s="53">
        <v>19</v>
      </c>
      <c r="G34" s="56">
        <v>40689</v>
      </c>
      <c r="H34" s="53">
        <v>28137.4</v>
      </c>
      <c r="I34" s="53">
        <f>6435.55+11529.36+50415.09</f>
        <v>68380</v>
      </c>
      <c r="J34" s="53">
        <v>0</v>
      </c>
      <c r="K34" s="53">
        <v>0</v>
      </c>
      <c r="L34" s="54">
        <f t="shared" ref="L34:L49" si="3">H34+I34+J34+K34</f>
        <v>96517.4</v>
      </c>
      <c r="M34" s="53">
        <v>0</v>
      </c>
      <c r="N34" s="53">
        <v>0</v>
      </c>
      <c r="O34" s="53">
        <v>52758.89</v>
      </c>
      <c r="P34" s="55">
        <v>0</v>
      </c>
      <c r="Q34" s="54">
        <f t="shared" ref="Q34:Q49" si="4">O34-P34</f>
        <v>52758.89</v>
      </c>
      <c r="R34" s="54">
        <f>L34</f>
        <v>96517.4</v>
      </c>
      <c r="S34" s="55">
        <v>0</v>
      </c>
      <c r="T34" s="71" t="s">
        <v>40</v>
      </c>
      <c r="U34" s="55" t="s">
        <v>40</v>
      </c>
      <c r="V34" s="52" t="s">
        <v>39</v>
      </c>
      <c r="W34" s="52" t="s">
        <v>254</v>
      </c>
      <c r="X34" s="52" t="s">
        <v>100</v>
      </c>
      <c r="Y34" s="52" t="s">
        <v>255</v>
      </c>
      <c r="Z34" s="52" t="s">
        <v>40</v>
      </c>
      <c r="AA34" s="52" t="s">
        <v>40</v>
      </c>
      <c r="AB34" s="52" t="s">
        <v>40</v>
      </c>
      <c r="AC34" s="52" t="s">
        <v>40</v>
      </c>
      <c r="AD34" s="52" t="s">
        <v>222</v>
      </c>
      <c r="AE34" s="52" t="s">
        <v>287</v>
      </c>
      <c r="AF34" s="57" t="s">
        <v>42</v>
      </c>
      <c r="AG34" s="58">
        <v>3324</v>
      </c>
      <c r="AH34" s="59">
        <v>1</v>
      </c>
      <c r="AI34" s="52" t="s">
        <v>299</v>
      </c>
      <c r="AJ34" s="52" t="s">
        <v>298</v>
      </c>
    </row>
    <row r="35" spans="1:36" ht="125.1" customHeight="1" x14ac:dyDescent="0.25">
      <c r="A35" s="34">
        <v>31</v>
      </c>
      <c r="B35" s="52" t="s">
        <v>135</v>
      </c>
      <c r="C35" s="52" t="s">
        <v>38</v>
      </c>
      <c r="D35" s="52" t="s">
        <v>108</v>
      </c>
      <c r="E35" s="58" t="s">
        <v>43</v>
      </c>
      <c r="F35" s="53">
        <v>18.899999999999999</v>
      </c>
      <c r="G35" s="56">
        <v>42504</v>
      </c>
      <c r="H35" s="53">
        <v>33333.440000000002</v>
      </c>
      <c r="I35" s="53">
        <f>6019.49+1299.61+483.29</f>
        <v>7802.3899999999994</v>
      </c>
      <c r="J35" s="53">
        <v>0</v>
      </c>
      <c r="K35" s="53">
        <v>0</v>
      </c>
      <c r="L35" s="54">
        <f t="shared" si="3"/>
        <v>41135.83</v>
      </c>
      <c r="M35" s="53">
        <v>0</v>
      </c>
      <c r="N35" s="53">
        <v>0</v>
      </c>
      <c r="O35" s="53">
        <v>137781.63</v>
      </c>
      <c r="P35" s="55">
        <v>0</v>
      </c>
      <c r="Q35" s="54">
        <f t="shared" si="4"/>
        <v>137781.63</v>
      </c>
      <c r="R35" s="54">
        <f t="shared" ref="R35:R40" si="5">Q35</f>
        <v>137781.63</v>
      </c>
      <c r="S35" s="55">
        <v>0</v>
      </c>
      <c r="T35" s="71" t="s">
        <v>40</v>
      </c>
      <c r="U35" s="55" t="s">
        <v>40</v>
      </c>
      <c r="V35" s="52" t="s">
        <v>39</v>
      </c>
      <c r="W35" s="52" t="s">
        <v>256</v>
      </c>
      <c r="X35" s="52" t="s">
        <v>257</v>
      </c>
      <c r="Y35" s="52" t="s">
        <v>258</v>
      </c>
      <c r="Z35" s="52" t="s">
        <v>59</v>
      </c>
      <c r="AA35" s="56">
        <v>43493</v>
      </c>
      <c r="AB35" s="52" t="s">
        <v>40</v>
      </c>
      <c r="AC35" s="52" t="s">
        <v>40</v>
      </c>
      <c r="AD35" s="52" t="s">
        <v>228</v>
      </c>
      <c r="AE35" s="52" t="s">
        <v>40</v>
      </c>
      <c r="AF35" s="57" t="s">
        <v>42</v>
      </c>
      <c r="AG35" s="58">
        <v>2117</v>
      </c>
      <c r="AH35" s="59">
        <v>1</v>
      </c>
      <c r="AI35" s="52" t="s">
        <v>299</v>
      </c>
      <c r="AJ35" s="52" t="s">
        <v>298</v>
      </c>
    </row>
    <row r="36" spans="1:36" ht="125.1" customHeight="1" x14ac:dyDescent="0.25">
      <c r="A36" s="34">
        <v>32</v>
      </c>
      <c r="B36" s="52" t="s">
        <v>112</v>
      </c>
      <c r="C36" s="52" t="s">
        <v>38</v>
      </c>
      <c r="D36" s="52" t="s">
        <v>44</v>
      </c>
      <c r="E36" s="58" t="s">
        <v>70</v>
      </c>
      <c r="F36" s="53">
        <v>16</v>
      </c>
      <c r="G36" s="56">
        <v>43688</v>
      </c>
      <c r="H36" s="53">
        <v>12205.18</v>
      </c>
      <c r="I36" s="53">
        <v>0</v>
      </c>
      <c r="J36" s="53">
        <v>0</v>
      </c>
      <c r="K36" s="53">
        <v>0</v>
      </c>
      <c r="L36" s="54">
        <f t="shared" si="3"/>
        <v>12205.18</v>
      </c>
      <c r="M36" s="53">
        <v>5050.6099999999997</v>
      </c>
      <c r="N36" s="53">
        <v>7454.57</v>
      </c>
      <c r="O36" s="53">
        <f>44034.78+M36+N36</f>
        <v>56539.96</v>
      </c>
      <c r="P36" s="55">
        <v>44034.77</v>
      </c>
      <c r="Q36" s="54">
        <v>12505.18</v>
      </c>
      <c r="R36" s="54">
        <f t="shared" si="5"/>
        <v>12505.18</v>
      </c>
      <c r="S36" s="55">
        <v>147034.76999999999</v>
      </c>
      <c r="T36" s="71">
        <v>43384</v>
      </c>
      <c r="U36" s="55" t="s">
        <v>40</v>
      </c>
      <c r="V36" s="52" t="s">
        <v>39</v>
      </c>
      <c r="W36" s="52" t="s">
        <v>166</v>
      </c>
      <c r="X36" s="52" t="s">
        <v>40</v>
      </c>
      <c r="Y36" s="52" t="s">
        <v>102</v>
      </c>
      <c r="Z36" s="52" t="s">
        <v>40</v>
      </c>
      <c r="AA36" s="52" t="s">
        <v>40</v>
      </c>
      <c r="AB36" s="52" t="s">
        <v>40</v>
      </c>
      <c r="AC36" s="52" t="s">
        <v>40</v>
      </c>
      <c r="AD36" s="52" t="s">
        <v>222</v>
      </c>
      <c r="AE36" s="52" t="s">
        <v>287</v>
      </c>
      <c r="AF36" s="57" t="s">
        <v>42</v>
      </c>
      <c r="AG36" s="58">
        <v>1012</v>
      </c>
      <c r="AH36" s="59">
        <v>1</v>
      </c>
      <c r="AI36" s="52" t="s">
        <v>299</v>
      </c>
      <c r="AJ36" s="52" t="s">
        <v>298</v>
      </c>
    </row>
    <row r="37" spans="1:36" ht="125.1" customHeight="1" x14ac:dyDescent="0.25">
      <c r="A37" s="34">
        <v>33</v>
      </c>
      <c r="B37" s="52" t="s">
        <v>113</v>
      </c>
      <c r="C37" s="52" t="s">
        <v>38</v>
      </c>
      <c r="D37" s="52" t="s">
        <v>44</v>
      </c>
      <c r="E37" s="58" t="s">
        <v>43</v>
      </c>
      <c r="F37" s="53">
        <v>36</v>
      </c>
      <c r="G37" s="56">
        <v>39948</v>
      </c>
      <c r="H37" s="53">
        <v>0</v>
      </c>
      <c r="I37" s="53">
        <f>13223.18+49.74</f>
        <v>13272.92</v>
      </c>
      <c r="J37" s="53">
        <v>0</v>
      </c>
      <c r="K37" s="53">
        <v>0</v>
      </c>
      <c r="L37" s="54">
        <f t="shared" si="3"/>
        <v>13272.92</v>
      </c>
      <c r="M37" s="53">
        <v>0</v>
      </c>
      <c r="N37" s="53">
        <v>0</v>
      </c>
      <c r="O37" s="53">
        <v>44551.59</v>
      </c>
      <c r="P37" s="55">
        <v>0</v>
      </c>
      <c r="Q37" s="54">
        <f t="shared" si="4"/>
        <v>44551.59</v>
      </c>
      <c r="R37" s="54">
        <f t="shared" si="5"/>
        <v>44551.59</v>
      </c>
      <c r="S37" s="55">
        <v>0</v>
      </c>
      <c r="T37" s="71" t="s">
        <v>40</v>
      </c>
      <c r="U37" s="53" t="s">
        <v>183</v>
      </c>
      <c r="V37" s="52" t="s">
        <v>39</v>
      </c>
      <c r="W37" s="52" t="s">
        <v>167</v>
      </c>
      <c r="X37" s="52" t="s">
        <v>45</v>
      </c>
      <c r="Y37" s="52" t="s">
        <v>259</v>
      </c>
      <c r="Z37" s="52" t="s">
        <v>260</v>
      </c>
      <c r="AA37" s="56">
        <v>43286</v>
      </c>
      <c r="AB37" s="52" t="s">
        <v>40</v>
      </c>
      <c r="AC37" s="52" t="s">
        <v>40</v>
      </c>
      <c r="AD37" s="52" t="s">
        <v>228</v>
      </c>
      <c r="AE37" s="52" t="s">
        <v>287</v>
      </c>
      <c r="AF37" s="57" t="s">
        <v>42</v>
      </c>
      <c r="AG37" s="58">
        <v>3095</v>
      </c>
      <c r="AH37" s="59">
        <v>1</v>
      </c>
      <c r="AI37" s="52" t="s">
        <v>299</v>
      </c>
      <c r="AJ37" s="52" t="s">
        <v>298</v>
      </c>
    </row>
    <row r="38" spans="1:36" ht="125.1" customHeight="1" x14ac:dyDescent="0.25">
      <c r="A38" s="34">
        <v>34</v>
      </c>
      <c r="B38" s="52" t="s">
        <v>136</v>
      </c>
      <c r="C38" s="52" t="s">
        <v>38</v>
      </c>
      <c r="D38" s="52" t="s">
        <v>44</v>
      </c>
      <c r="E38" s="58" t="s">
        <v>43</v>
      </c>
      <c r="F38" s="53">
        <v>19.899999999999999</v>
      </c>
      <c r="G38" s="56">
        <v>43204</v>
      </c>
      <c r="H38" s="53">
        <f>19963.4+21018.86</f>
        <v>40982.26</v>
      </c>
      <c r="I38" s="53">
        <f>10.38+9825.71+320.87+496.14</f>
        <v>10653.099999999999</v>
      </c>
      <c r="J38" s="53">
        <v>0</v>
      </c>
      <c r="K38" s="53">
        <v>0</v>
      </c>
      <c r="L38" s="54">
        <f t="shared" si="3"/>
        <v>51635.360000000001</v>
      </c>
      <c r="M38" s="53">
        <v>0</v>
      </c>
      <c r="N38" s="53">
        <v>0</v>
      </c>
      <c r="O38" s="53">
        <v>104389.85</v>
      </c>
      <c r="P38" s="55">
        <v>0</v>
      </c>
      <c r="Q38" s="54">
        <f t="shared" si="4"/>
        <v>104389.85</v>
      </c>
      <c r="R38" s="54">
        <f t="shared" si="5"/>
        <v>104389.85</v>
      </c>
      <c r="S38" s="55">
        <v>0</v>
      </c>
      <c r="T38" s="71" t="s">
        <v>40</v>
      </c>
      <c r="U38" s="55" t="s">
        <v>40</v>
      </c>
      <c r="V38" s="52" t="s">
        <v>39</v>
      </c>
      <c r="W38" s="52" t="s">
        <v>168</v>
      </c>
      <c r="X38" s="52" t="s">
        <v>45</v>
      </c>
      <c r="Y38" s="52" t="s">
        <v>261</v>
      </c>
      <c r="Z38" s="52" t="s">
        <v>60</v>
      </c>
      <c r="AA38" s="56">
        <v>43343</v>
      </c>
      <c r="AB38" s="56">
        <v>43867</v>
      </c>
      <c r="AC38" s="52" t="s">
        <v>61</v>
      </c>
      <c r="AD38" s="52" t="s">
        <v>221</v>
      </c>
      <c r="AE38" s="52" t="s">
        <v>287</v>
      </c>
      <c r="AF38" s="57" t="s">
        <v>42</v>
      </c>
      <c r="AG38" s="58">
        <v>2360</v>
      </c>
      <c r="AH38" s="59">
        <v>1</v>
      </c>
      <c r="AI38" s="52" t="s">
        <v>299</v>
      </c>
      <c r="AJ38" s="52" t="s">
        <v>298</v>
      </c>
    </row>
    <row r="39" spans="1:36" ht="125.1" customHeight="1" x14ac:dyDescent="0.25">
      <c r="A39" s="34">
        <v>35</v>
      </c>
      <c r="B39" s="52" t="s">
        <v>137</v>
      </c>
      <c r="C39" s="52" t="s">
        <v>38</v>
      </c>
      <c r="D39" s="52" t="s">
        <v>44</v>
      </c>
      <c r="E39" s="58" t="s">
        <v>70</v>
      </c>
      <c r="F39" s="53">
        <v>15.75</v>
      </c>
      <c r="G39" s="56">
        <v>43046</v>
      </c>
      <c r="H39" s="53">
        <v>15202.41</v>
      </c>
      <c r="I39" s="53">
        <v>171.5</v>
      </c>
      <c r="J39" s="53">
        <v>0</v>
      </c>
      <c r="K39" s="53">
        <v>0</v>
      </c>
      <c r="L39" s="54">
        <f t="shared" si="3"/>
        <v>15373.91</v>
      </c>
      <c r="M39" s="53">
        <v>0</v>
      </c>
      <c r="N39" s="53">
        <v>0</v>
      </c>
      <c r="O39" s="53">
        <v>17468.96</v>
      </c>
      <c r="P39" s="55">
        <v>0</v>
      </c>
      <c r="Q39" s="54">
        <f t="shared" si="4"/>
        <v>17468.96</v>
      </c>
      <c r="R39" s="54">
        <f t="shared" si="5"/>
        <v>17468.96</v>
      </c>
      <c r="S39" s="55">
        <v>0</v>
      </c>
      <c r="T39" s="71" t="s">
        <v>40</v>
      </c>
      <c r="U39" s="55" t="s">
        <v>40</v>
      </c>
      <c r="V39" s="52" t="s">
        <v>39</v>
      </c>
      <c r="W39" s="52" t="s">
        <v>169</v>
      </c>
      <c r="X39" s="52" t="s">
        <v>45</v>
      </c>
      <c r="Y39" s="52" t="s">
        <v>262</v>
      </c>
      <c r="Z39" s="52" t="s">
        <v>97</v>
      </c>
      <c r="AA39" s="56">
        <v>43185</v>
      </c>
      <c r="AB39" s="56">
        <v>43416</v>
      </c>
      <c r="AC39" s="52" t="s">
        <v>98</v>
      </c>
      <c r="AD39" s="52" t="s">
        <v>221</v>
      </c>
      <c r="AE39" s="52" t="s">
        <v>287</v>
      </c>
      <c r="AF39" s="57" t="s">
        <v>42</v>
      </c>
      <c r="AG39" s="58">
        <v>967</v>
      </c>
      <c r="AH39" s="59">
        <v>1</v>
      </c>
      <c r="AI39" s="52" t="s">
        <v>299</v>
      </c>
      <c r="AJ39" s="52" t="s">
        <v>298</v>
      </c>
    </row>
    <row r="40" spans="1:36" ht="125.1" customHeight="1" x14ac:dyDescent="0.25">
      <c r="A40" s="34">
        <v>36</v>
      </c>
      <c r="B40" s="52" t="s">
        <v>138</v>
      </c>
      <c r="C40" s="52" t="s">
        <v>38</v>
      </c>
      <c r="D40" s="52" t="s">
        <v>44</v>
      </c>
      <c r="E40" s="58" t="s">
        <v>70</v>
      </c>
      <c r="F40" s="53">
        <v>17</v>
      </c>
      <c r="G40" s="56">
        <v>41718</v>
      </c>
      <c r="H40" s="53">
        <v>29234.77</v>
      </c>
      <c r="I40" s="53">
        <f>347.24+1238.59+9027.54</f>
        <v>10613.37</v>
      </c>
      <c r="J40" s="53">
        <v>0</v>
      </c>
      <c r="K40" s="53">
        <v>623.92999999999995</v>
      </c>
      <c r="L40" s="54">
        <f t="shared" si="3"/>
        <v>40472.07</v>
      </c>
      <c r="M40" s="53">
        <v>0</v>
      </c>
      <c r="N40" s="53">
        <v>0</v>
      </c>
      <c r="O40" s="53">
        <v>35552.68</v>
      </c>
      <c r="P40" s="55">
        <v>0</v>
      </c>
      <c r="Q40" s="54">
        <f t="shared" si="4"/>
        <v>35552.68</v>
      </c>
      <c r="R40" s="54">
        <f t="shared" si="5"/>
        <v>35552.68</v>
      </c>
      <c r="S40" s="55">
        <v>0</v>
      </c>
      <c r="T40" s="71" t="s">
        <v>40</v>
      </c>
      <c r="U40" s="55" t="s">
        <v>40</v>
      </c>
      <c r="V40" s="52" t="s">
        <v>39</v>
      </c>
      <c r="W40" s="52" t="s">
        <v>170</v>
      </c>
      <c r="X40" s="52" t="s">
        <v>264</v>
      </c>
      <c r="Y40" s="52" t="s">
        <v>263</v>
      </c>
      <c r="Z40" s="52" t="s">
        <v>265</v>
      </c>
      <c r="AA40" s="56">
        <v>42657</v>
      </c>
      <c r="AB40" s="56">
        <v>43627</v>
      </c>
      <c r="AC40" s="52" t="s">
        <v>80</v>
      </c>
      <c r="AD40" s="52" t="s">
        <v>221</v>
      </c>
      <c r="AE40" s="52" t="s">
        <v>287</v>
      </c>
      <c r="AF40" s="57" t="s">
        <v>42</v>
      </c>
      <c r="AG40" s="58">
        <v>1931</v>
      </c>
      <c r="AH40" s="59">
        <v>1</v>
      </c>
      <c r="AI40" s="52" t="s">
        <v>299</v>
      </c>
      <c r="AJ40" s="52" t="s">
        <v>298</v>
      </c>
    </row>
    <row r="41" spans="1:36" ht="125.1" customHeight="1" x14ac:dyDescent="0.25">
      <c r="A41" s="34">
        <v>37</v>
      </c>
      <c r="B41" s="52" t="s">
        <v>139</v>
      </c>
      <c r="C41" s="52" t="s">
        <v>38</v>
      </c>
      <c r="D41" s="52" t="s">
        <v>108</v>
      </c>
      <c r="E41" s="58" t="s">
        <v>43</v>
      </c>
      <c r="F41" s="53">
        <v>20.5</v>
      </c>
      <c r="G41" s="56">
        <v>42758</v>
      </c>
      <c r="H41" s="53">
        <v>5228.5200000000004</v>
      </c>
      <c r="I41" s="53">
        <f>176.19+55.8</f>
        <v>231.99</v>
      </c>
      <c r="J41" s="53">
        <v>0</v>
      </c>
      <c r="K41" s="53">
        <v>0</v>
      </c>
      <c r="L41" s="54">
        <f t="shared" si="3"/>
        <v>5460.51</v>
      </c>
      <c r="M41" s="53">
        <v>0</v>
      </c>
      <c r="N41" s="53">
        <v>0</v>
      </c>
      <c r="O41" s="53">
        <v>7642.53</v>
      </c>
      <c r="P41" s="55">
        <v>0</v>
      </c>
      <c r="Q41" s="54">
        <f t="shared" si="4"/>
        <v>7642.53</v>
      </c>
      <c r="R41" s="54">
        <f t="shared" ref="R41:R47" si="6">Q41</f>
        <v>7642.53</v>
      </c>
      <c r="S41" s="55">
        <v>0</v>
      </c>
      <c r="T41" s="71" t="s">
        <v>40</v>
      </c>
      <c r="U41" s="55" t="s">
        <v>40</v>
      </c>
      <c r="V41" s="52" t="s">
        <v>39</v>
      </c>
      <c r="W41" s="52" t="s">
        <v>171</v>
      </c>
      <c r="X41" s="52" t="s">
        <v>45</v>
      </c>
      <c r="Y41" s="52" t="s">
        <v>266</v>
      </c>
      <c r="Z41" s="52" t="s">
        <v>90</v>
      </c>
      <c r="AA41" s="56">
        <v>43286</v>
      </c>
      <c r="AB41" s="52" t="s">
        <v>40</v>
      </c>
      <c r="AC41" s="52" t="s">
        <v>40</v>
      </c>
      <c r="AD41" s="52" t="s">
        <v>79</v>
      </c>
      <c r="AE41" s="52" t="s">
        <v>40</v>
      </c>
      <c r="AF41" s="57" t="s">
        <v>42</v>
      </c>
      <c r="AG41" s="58">
        <v>1317</v>
      </c>
      <c r="AH41" s="59">
        <v>1</v>
      </c>
      <c r="AI41" s="52" t="s">
        <v>299</v>
      </c>
      <c r="AJ41" s="52" t="s">
        <v>298</v>
      </c>
    </row>
    <row r="42" spans="1:36" ht="125.1" customHeight="1" x14ac:dyDescent="0.25">
      <c r="A42" s="34">
        <v>38</v>
      </c>
      <c r="B42" s="52" t="s">
        <v>114</v>
      </c>
      <c r="C42" s="52" t="s">
        <v>38</v>
      </c>
      <c r="D42" s="52" t="s">
        <v>44</v>
      </c>
      <c r="E42" s="58" t="s">
        <v>70</v>
      </c>
      <c r="F42" s="53">
        <v>16</v>
      </c>
      <c r="G42" s="56">
        <v>43801</v>
      </c>
      <c r="H42" s="53">
        <f>180276.65+19388.25</f>
        <v>199664.9</v>
      </c>
      <c r="I42" s="53">
        <f>9907.62+4786.76+435.86</f>
        <v>15130.240000000002</v>
      </c>
      <c r="J42" s="53">
        <v>0</v>
      </c>
      <c r="K42" s="53">
        <v>0</v>
      </c>
      <c r="L42" s="54">
        <f t="shared" si="3"/>
        <v>214795.13999999998</v>
      </c>
      <c r="M42" s="53">
        <v>0</v>
      </c>
      <c r="N42" s="53">
        <v>0</v>
      </c>
      <c r="O42" s="53">
        <f>229811.17+2749.06</f>
        <v>232560.23</v>
      </c>
      <c r="P42" s="55">
        <v>0</v>
      </c>
      <c r="Q42" s="54">
        <f t="shared" si="4"/>
        <v>232560.23</v>
      </c>
      <c r="R42" s="54">
        <f t="shared" si="6"/>
        <v>232560.23</v>
      </c>
      <c r="S42" s="55">
        <v>0</v>
      </c>
      <c r="T42" s="71" t="s">
        <v>40</v>
      </c>
      <c r="U42" s="55" t="s">
        <v>40</v>
      </c>
      <c r="V42" s="52" t="s">
        <v>39</v>
      </c>
      <c r="W42" s="52" t="s">
        <v>172</v>
      </c>
      <c r="X42" s="52" t="s">
        <v>267</v>
      </c>
      <c r="Y42" s="52" t="s">
        <v>268</v>
      </c>
      <c r="Z42" s="52" t="s">
        <v>40</v>
      </c>
      <c r="AA42" s="52" t="s">
        <v>40</v>
      </c>
      <c r="AB42" s="52" t="s">
        <v>40</v>
      </c>
      <c r="AC42" s="52" t="s">
        <v>40</v>
      </c>
      <c r="AD42" s="52" t="s">
        <v>288</v>
      </c>
      <c r="AE42" s="52" t="s">
        <v>287</v>
      </c>
      <c r="AF42" s="57" t="s">
        <v>42</v>
      </c>
      <c r="AG42" s="58">
        <v>1199</v>
      </c>
      <c r="AH42" s="59">
        <v>1</v>
      </c>
      <c r="AI42" s="52" t="s">
        <v>299</v>
      </c>
      <c r="AJ42" s="52" t="s">
        <v>298</v>
      </c>
    </row>
    <row r="43" spans="1:36" ht="125.1" customHeight="1" x14ac:dyDescent="0.25">
      <c r="A43" s="34">
        <v>39</v>
      </c>
      <c r="B43" s="52" t="s">
        <v>140</v>
      </c>
      <c r="C43" s="52" t="s">
        <v>38</v>
      </c>
      <c r="D43" s="52" t="s">
        <v>108</v>
      </c>
      <c r="E43" s="58" t="s">
        <v>43</v>
      </c>
      <c r="F43" s="53" t="s">
        <v>105</v>
      </c>
      <c r="G43" s="56" t="s">
        <v>62</v>
      </c>
      <c r="H43" s="53">
        <f>35344.88+54838.91</f>
        <v>90183.790000000008</v>
      </c>
      <c r="I43" s="53">
        <f>3291.22+179.07+0.01+406.71+183+6077.37+150.24</f>
        <v>10287.620000000001</v>
      </c>
      <c r="J43" s="53">
        <v>0</v>
      </c>
      <c r="K43" s="53">
        <v>0</v>
      </c>
      <c r="L43" s="54">
        <f t="shared" si="3"/>
        <v>100471.41</v>
      </c>
      <c r="M43" s="53">
        <v>0</v>
      </c>
      <c r="N43" s="53">
        <v>0</v>
      </c>
      <c r="O43" s="53">
        <f>133393.18+3867.86</f>
        <v>137261.03999999998</v>
      </c>
      <c r="P43" s="55">
        <v>833.28</v>
      </c>
      <c r="Q43" s="54">
        <f t="shared" si="4"/>
        <v>136427.75999999998</v>
      </c>
      <c r="R43" s="54">
        <f t="shared" si="6"/>
        <v>136427.75999999998</v>
      </c>
      <c r="S43" s="55">
        <v>833.28</v>
      </c>
      <c r="T43" s="71">
        <v>43602</v>
      </c>
      <c r="U43" s="55" t="s">
        <v>40</v>
      </c>
      <c r="V43" s="52" t="s">
        <v>39</v>
      </c>
      <c r="W43" s="52" t="s">
        <v>173</v>
      </c>
      <c r="X43" s="52" t="s">
        <v>45</v>
      </c>
      <c r="Y43" s="52" t="s">
        <v>63</v>
      </c>
      <c r="Z43" s="52" t="s">
        <v>64</v>
      </c>
      <c r="AA43" s="56">
        <v>43419</v>
      </c>
      <c r="AB43" s="56">
        <v>43798</v>
      </c>
      <c r="AC43" s="52" t="s">
        <v>65</v>
      </c>
      <c r="AD43" s="52" t="s">
        <v>221</v>
      </c>
      <c r="AE43" s="52" t="s">
        <v>40</v>
      </c>
      <c r="AF43" s="57" t="s">
        <v>42</v>
      </c>
      <c r="AG43" s="58" t="s">
        <v>66</v>
      </c>
      <c r="AH43" s="59">
        <v>2</v>
      </c>
      <c r="AI43" s="52" t="s">
        <v>299</v>
      </c>
      <c r="AJ43" s="52" t="s">
        <v>298</v>
      </c>
    </row>
    <row r="44" spans="1:36" ht="125.1" customHeight="1" x14ac:dyDescent="0.25">
      <c r="A44" s="34">
        <v>40</v>
      </c>
      <c r="B44" s="52" t="s">
        <v>141</v>
      </c>
      <c r="C44" s="52" t="s">
        <v>38</v>
      </c>
      <c r="D44" s="52" t="s">
        <v>108</v>
      </c>
      <c r="E44" s="58" t="s">
        <v>43</v>
      </c>
      <c r="F44" s="53">
        <v>17</v>
      </c>
      <c r="G44" s="56">
        <v>42919</v>
      </c>
      <c r="H44" s="53">
        <f>17142.72+57142.9</f>
        <v>74285.62</v>
      </c>
      <c r="I44" s="53">
        <f>483.06+9326.19+239.53+71.85</f>
        <v>10120.630000000001</v>
      </c>
      <c r="J44" s="53">
        <v>0</v>
      </c>
      <c r="K44" s="53">
        <v>0</v>
      </c>
      <c r="L44" s="54">
        <f t="shared" si="3"/>
        <v>84406.25</v>
      </c>
      <c r="M44" s="53">
        <v>0</v>
      </c>
      <c r="N44" s="53">
        <v>0</v>
      </c>
      <c r="O44" s="53">
        <v>100115.48</v>
      </c>
      <c r="P44" s="55">
        <v>0</v>
      </c>
      <c r="Q44" s="54">
        <f t="shared" si="4"/>
        <v>100115.48</v>
      </c>
      <c r="R44" s="54">
        <f t="shared" si="6"/>
        <v>100115.48</v>
      </c>
      <c r="S44" s="55">
        <v>0</v>
      </c>
      <c r="T44" s="71" t="s">
        <v>40</v>
      </c>
      <c r="U44" s="55" t="s">
        <v>40</v>
      </c>
      <c r="V44" s="52" t="s">
        <v>39</v>
      </c>
      <c r="W44" s="52" t="s">
        <v>174</v>
      </c>
      <c r="X44" s="52" t="s">
        <v>45</v>
      </c>
      <c r="Y44" s="52" t="s">
        <v>269</v>
      </c>
      <c r="Z44" s="52" t="s">
        <v>67</v>
      </c>
      <c r="AA44" s="56">
        <v>43182</v>
      </c>
      <c r="AB44" s="56">
        <v>43509</v>
      </c>
      <c r="AC44" s="52" t="s">
        <v>53</v>
      </c>
      <c r="AD44" s="52" t="s">
        <v>221</v>
      </c>
      <c r="AE44" s="52" t="s">
        <v>40</v>
      </c>
      <c r="AF44" s="57" t="s">
        <v>42</v>
      </c>
      <c r="AG44" s="58">
        <v>1520</v>
      </c>
      <c r="AH44" s="59">
        <v>1</v>
      </c>
      <c r="AI44" s="52" t="s">
        <v>299</v>
      </c>
      <c r="AJ44" s="52" t="s">
        <v>298</v>
      </c>
    </row>
    <row r="45" spans="1:36" ht="125.1" customHeight="1" x14ac:dyDescent="0.25">
      <c r="A45" s="34">
        <v>41</v>
      </c>
      <c r="B45" s="52" t="s">
        <v>142</v>
      </c>
      <c r="C45" s="52" t="s">
        <v>38</v>
      </c>
      <c r="D45" s="52" t="s">
        <v>108</v>
      </c>
      <c r="E45" s="58" t="s">
        <v>43</v>
      </c>
      <c r="F45" s="53">
        <v>21</v>
      </c>
      <c r="G45" s="56">
        <v>42643</v>
      </c>
      <c r="H45" s="53">
        <v>46945.54</v>
      </c>
      <c r="I45" s="53">
        <f>10338.78+375.98+243.09</f>
        <v>10957.85</v>
      </c>
      <c r="J45" s="53">
        <v>0</v>
      </c>
      <c r="K45" s="53">
        <v>0</v>
      </c>
      <c r="L45" s="54">
        <f t="shared" si="3"/>
        <v>57903.39</v>
      </c>
      <c r="M45" s="53">
        <v>0</v>
      </c>
      <c r="N45" s="53">
        <v>0</v>
      </c>
      <c r="O45" s="53">
        <v>73065.88</v>
      </c>
      <c r="P45" s="55">
        <v>0</v>
      </c>
      <c r="Q45" s="54">
        <f t="shared" si="4"/>
        <v>73065.88</v>
      </c>
      <c r="R45" s="54">
        <f t="shared" si="6"/>
        <v>73065.88</v>
      </c>
      <c r="S45" s="55">
        <v>0</v>
      </c>
      <c r="T45" s="71" t="s">
        <v>40</v>
      </c>
      <c r="U45" s="55" t="s">
        <v>40</v>
      </c>
      <c r="V45" s="52" t="s">
        <v>39</v>
      </c>
      <c r="W45" s="52" t="s">
        <v>175</v>
      </c>
      <c r="X45" s="52" t="s">
        <v>45</v>
      </c>
      <c r="Y45" s="52" t="s">
        <v>270</v>
      </c>
      <c r="Z45" s="52" t="s">
        <v>96</v>
      </c>
      <c r="AA45" s="56">
        <v>43440</v>
      </c>
      <c r="AB45" s="56">
        <v>43593</v>
      </c>
      <c r="AC45" s="52" t="s">
        <v>53</v>
      </c>
      <c r="AD45" s="52" t="s">
        <v>221</v>
      </c>
      <c r="AE45" s="52" t="s">
        <v>40</v>
      </c>
      <c r="AF45" s="57" t="s">
        <v>42</v>
      </c>
      <c r="AG45" s="58">
        <v>1645</v>
      </c>
      <c r="AH45" s="59">
        <v>1</v>
      </c>
      <c r="AI45" s="52" t="s">
        <v>299</v>
      </c>
      <c r="AJ45" s="52" t="s">
        <v>298</v>
      </c>
    </row>
    <row r="46" spans="1:36" ht="125.1" customHeight="1" x14ac:dyDescent="0.25">
      <c r="A46" s="34">
        <v>42</v>
      </c>
      <c r="B46" s="52" t="s">
        <v>143</v>
      </c>
      <c r="C46" s="52" t="s">
        <v>38</v>
      </c>
      <c r="D46" s="52" t="s">
        <v>271</v>
      </c>
      <c r="E46" s="58" t="s">
        <v>43</v>
      </c>
      <c r="F46" s="53">
        <v>5.5</v>
      </c>
      <c r="G46" s="56">
        <v>39218</v>
      </c>
      <c r="H46" s="53">
        <v>0</v>
      </c>
      <c r="I46" s="53">
        <v>6906.95</v>
      </c>
      <c r="J46" s="53">
        <v>0</v>
      </c>
      <c r="K46" s="53">
        <v>0</v>
      </c>
      <c r="L46" s="54">
        <f t="shared" si="3"/>
        <v>6906.95</v>
      </c>
      <c r="M46" s="53">
        <v>0</v>
      </c>
      <c r="N46" s="53">
        <v>0</v>
      </c>
      <c r="O46" s="53">
        <f>57839.25+1935.18</f>
        <v>59774.43</v>
      </c>
      <c r="P46" s="55">
        <v>17480.5</v>
      </c>
      <c r="Q46" s="54">
        <f t="shared" si="4"/>
        <v>42293.93</v>
      </c>
      <c r="R46" s="54">
        <f t="shared" si="6"/>
        <v>42293.93</v>
      </c>
      <c r="S46" s="55">
        <v>4665.6000000000004</v>
      </c>
      <c r="T46" s="71">
        <v>43740</v>
      </c>
      <c r="U46" s="55" t="s">
        <v>40</v>
      </c>
      <c r="V46" s="52" t="s">
        <v>39</v>
      </c>
      <c r="W46" s="52" t="s">
        <v>176</v>
      </c>
      <c r="X46" s="52" t="s">
        <v>272</v>
      </c>
      <c r="Y46" s="52" t="s">
        <v>273</v>
      </c>
      <c r="Z46" s="52" t="s">
        <v>91</v>
      </c>
      <c r="AA46" s="56">
        <v>41919</v>
      </c>
      <c r="AB46" s="52" t="s">
        <v>40</v>
      </c>
      <c r="AC46" s="52" t="s">
        <v>40</v>
      </c>
      <c r="AD46" s="52" t="s">
        <v>79</v>
      </c>
      <c r="AE46" s="52" t="s">
        <v>287</v>
      </c>
      <c r="AF46" s="57" t="s">
        <v>42</v>
      </c>
      <c r="AG46" s="58">
        <v>3160</v>
      </c>
      <c r="AH46" s="59">
        <v>1</v>
      </c>
      <c r="AI46" s="52" t="s">
        <v>299</v>
      </c>
      <c r="AJ46" s="52" t="s">
        <v>298</v>
      </c>
    </row>
    <row r="47" spans="1:36" ht="125.1" customHeight="1" x14ac:dyDescent="0.25">
      <c r="A47" s="34">
        <v>43</v>
      </c>
      <c r="B47" s="52" t="s">
        <v>274</v>
      </c>
      <c r="C47" s="52" t="s">
        <v>38</v>
      </c>
      <c r="D47" s="52" t="s">
        <v>108</v>
      </c>
      <c r="E47" s="58" t="s">
        <v>43</v>
      </c>
      <c r="F47" s="53">
        <v>19</v>
      </c>
      <c r="G47" s="56">
        <v>42558</v>
      </c>
      <c r="H47" s="53">
        <v>2914.78</v>
      </c>
      <c r="I47" s="53">
        <f>488.06+8.92</f>
        <v>496.98</v>
      </c>
      <c r="J47" s="53">
        <v>0</v>
      </c>
      <c r="K47" s="53">
        <v>0</v>
      </c>
      <c r="L47" s="54">
        <f t="shared" si="3"/>
        <v>3411.76</v>
      </c>
      <c r="M47" s="53">
        <v>0</v>
      </c>
      <c r="N47" s="53">
        <v>0</v>
      </c>
      <c r="O47" s="53">
        <v>6577.2</v>
      </c>
      <c r="P47" s="55">
        <v>513.13</v>
      </c>
      <c r="Q47" s="54">
        <f t="shared" si="4"/>
        <v>6064.07</v>
      </c>
      <c r="R47" s="54">
        <f t="shared" si="6"/>
        <v>6064.07</v>
      </c>
      <c r="S47" s="55">
        <v>513.13</v>
      </c>
      <c r="T47" s="71">
        <v>43858</v>
      </c>
      <c r="U47" s="55" t="s">
        <v>40</v>
      </c>
      <c r="V47" s="52" t="s">
        <v>39</v>
      </c>
      <c r="W47" s="52" t="s">
        <v>275</v>
      </c>
      <c r="X47" s="52" t="s">
        <v>40</v>
      </c>
      <c r="Y47" s="52" t="s">
        <v>40</v>
      </c>
      <c r="Z47" s="52" t="s">
        <v>40</v>
      </c>
      <c r="AA47" s="52" t="s">
        <v>40</v>
      </c>
      <c r="AB47" s="52" t="s">
        <v>40</v>
      </c>
      <c r="AC47" s="52" t="s">
        <v>40</v>
      </c>
      <c r="AD47" s="52" t="s">
        <v>40</v>
      </c>
      <c r="AE47" s="52" t="s">
        <v>40</v>
      </c>
      <c r="AF47" s="57" t="s">
        <v>42</v>
      </c>
      <c r="AG47" s="58">
        <v>1517</v>
      </c>
      <c r="AH47" s="59">
        <v>1</v>
      </c>
      <c r="AI47" s="52" t="s">
        <v>299</v>
      </c>
      <c r="AJ47" s="52" t="s">
        <v>298</v>
      </c>
    </row>
    <row r="48" spans="1:36" ht="125.1" customHeight="1" x14ac:dyDescent="0.25">
      <c r="A48" s="34">
        <v>44</v>
      </c>
      <c r="B48" s="52" t="s">
        <v>144</v>
      </c>
      <c r="C48" s="52" t="s">
        <v>38</v>
      </c>
      <c r="D48" s="52" t="s">
        <v>44</v>
      </c>
      <c r="E48" s="58" t="s">
        <v>70</v>
      </c>
      <c r="F48" s="53">
        <v>19</v>
      </c>
      <c r="G48" s="56">
        <v>40236</v>
      </c>
      <c r="H48" s="53">
        <v>20229.21</v>
      </c>
      <c r="I48" s="53">
        <f>6438.43+9119.33+18695.74</f>
        <v>34253.5</v>
      </c>
      <c r="J48" s="53">
        <v>0</v>
      </c>
      <c r="K48" s="53">
        <v>0</v>
      </c>
      <c r="L48" s="54">
        <f t="shared" si="3"/>
        <v>54482.71</v>
      </c>
      <c r="M48" s="53">
        <v>0</v>
      </c>
      <c r="N48" s="53">
        <v>0</v>
      </c>
      <c r="O48" s="53">
        <v>32597.279999999999</v>
      </c>
      <c r="P48" s="55">
        <v>31817.73</v>
      </c>
      <c r="Q48" s="54">
        <f t="shared" si="4"/>
        <v>779.54999999999927</v>
      </c>
      <c r="R48" s="54">
        <f>L48</f>
        <v>54482.71</v>
      </c>
      <c r="S48" s="55">
        <v>0</v>
      </c>
      <c r="T48" s="71" t="s">
        <v>40</v>
      </c>
      <c r="U48" s="55" t="s">
        <v>40</v>
      </c>
      <c r="V48" s="52" t="s">
        <v>39</v>
      </c>
      <c r="W48" s="52" t="s">
        <v>177</v>
      </c>
      <c r="X48" s="52" t="s">
        <v>40</v>
      </c>
      <c r="Y48" s="52" t="s">
        <v>276</v>
      </c>
      <c r="Z48" s="52" t="s">
        <v>277</v>
      </c>
      <c r="AA48" s="56">
        <v>41401</v>
      </c>
      <c r="AB48" s="52" t="s">
        <v>40</v>
      </c>
      <c r="AC48" s="52" t="s">
        <v>40</v>
      </c>
      <c r="AD48" s="52" t="s">
        <v>79</v>
      </c>
      <c r="AE48" s="52" t="s">
        <v>287</v>
      </c>
      <c r="AF48" s="57" t="s">
        <v>42</v>
      </c>
      <c r="AG48" s="58">
        <v>4816</v>
      </c>
      <c r="AH48" s="59">
        <v>1</v>
      </c>
      <c r="AI48" s="52" t="s">
        <v>299</v>
      </c>
      <c r="AJ48" s="52" t="s">
        <v>298</v>
      </c>
    </row>
    <row r="49" spans="1:36" ht="125.1" customHeight="1" x14ac:dyDescent="0.25">
      <c r="A49" s="34">
        <v>45</v>
      </c>
      <c r="B49" s="52" t="s">
        <v>146</v>
      </c>
      <c r="C49" s="52" t="s">
        <v>38</v>
      </c>
      <c r="D49" s="52" t="s">
        <v>108</v>
      </c>
      <c r="E49" s="58" t="s">
        <v>43</v>
      </c>
      <c r="F49" s="53">
        <v>21</v>
      </c>
      <c r="G49" s="56">
        <v>42919</v>
      </c>
      <c r="H49" s="53">
        <f>16710.97+65075.25</f>
        <v>81786.22</v>
      </c>
      <c r="I49" s="53">
        <f>19677.37+579.73+336.96+86.54</f>
        <v>20680.599999999999</v>
      </c>
      <c r="J49" s="53">
        <v>0</v>
      </c>
      <c r="K49" s="53">
        <v>0</v>
      </c>
      <c r="L49" s="54">
        <f t="shared" si="3"/>
        <v>102466.82</v>
      </c>
      <c r="M49" s="53">
        <v>0</v>
      </c>
      <c r="N49" s="53">
        <v>0</v>
      </c>
      <c r="O49" s="53">
        <v>135585.21</v>
      </c>
      <c r="P49" s="55">
        <v>319.58</v>
      </c>
      <c r="Q49" s="54">
        <f t="shared" si="4"/>
        <v>135265.63</v>
      </c>
      <c r="R49" s="54">
        <f>Q49</f>
        <v>135265.63</v>
      </c>
      <c r="S49" s="55">
        <v>319.58</v>
      </c>
      <c r="T49" s="71">
        <v>44340</v>
      </c>
      <c r="U49" s="55" t="s">
        <v>40</v>
      </c>
      <c r="V49" s="52" t="s">
        <v>39</v>
      </c>
      <c r="W49" s="52"/>
      <c r="X49" s="52" t="s">
        <v>40</v>
      </c>
      <c r="Y49" s="52" t="s">
        <v>68</v>
      </c>
      <c r="Z49" s="52" t="s">
        <v>69</v>
      </c>
      <c r="AA49" s="56">
        <v>43231</v>
      </c>
      <c r="AB49" s="52" t="s">
        <v>40</v>
      </c>
      <c r="AC49" s="52" t="s">
        <v>40</v>
      </c>
      <c r="AD49" s="52" t="s">
        <v>228</v>
      </c>
      <c r="AE49" s="52" t="s">
        <v>40</v>
      </c>
      <c r="AF49" s="57" t="s">
        <v>42</v>
      </c>
      <c r="AG49" s="58">
        <v>1697</v>
      </c>
      <c r="AH49" s="59">
        <v>1</v>
      </c>
      <c r="AI49" s="52" t="s">
        <v>299</v>
      </c>
      <c r="AJ49" s="52" t="s">
        <v>298</v>
      </c>
    </row>
    <row r="50" spans="1:36" ht="15" customHeight="1" x14ac:dyDescent="0.25">
      <c r="A50" s="61"/>
      <c r="B50" s="62"/>
      <c r="C50" s="62"/>
      <c r="D50" s="62"/>
      <c r="E50" s="61"/>
      <c r="F50" s="62"/>
      <c r="G50" s="62"/>
      <c r="H50" s="62"/>
      <c r="I50" s="62"/>
      <c r="J50" s="63"/>
      <c r="K50" s="63"/>
      <c r="L50" s="55">
        <f>SUM(L5:L49)</f>
        <v>4705112.3</v>
      </c>
      <c r="M50" s="62"/>
      <c r="N50" s="62"/>
      <c r="O50" s="63"/>
      <c r="P50" s="64"/>
      <c r="Q50" s="55">
        <f>SUM(Q5:Q49)</f>
        <v>5917935.9100000001</v>
      </c>
      <c r="R50" s="64">
        <f>SUM(R5:R49)</f>
        <v>6130508.75</v>
      </c>
      <c r="S50" s="64"/>
      <c r="T50" s="64"/>
      <c r="U50" s="64"/>
      <c r="V50" s="61"/>
      <c r="W50" s="62"/>
      <c r="X50" s="62"/>
      <c r="Y50" s="62"/>
      <c r="Z50" s="62"/>
      <c r="AA50" s="62"/>
      <c r="AB50" s="62"/>
      <c r="AC50" s="62"/>
      <c r="AD50" s="62"/>
      <c r="AE50" s="62"/>
      <c r="AF50" s="61"/>
      <c r="AG50" s="61"/>
      <c r="AH50" s="65">
        <f>SUM(AH5:AH49)</f>
        <v>47</v>
      </c>
      <c r="AI50" s="62"/>
    </row>
    <row r="51" spans="1:36" x14ac:dyDescent="0.25">
      <c r="P51" s="78"/>
    </row>
    <row r="69" spans="30:35" x14ac:dyDescent="0.25">
      <c r="AD69" s="79"/>
      <c r="AE69" s="79"/>
      <c r="AI69" s="79"/>
    </row>
  </sheetData>
  <autoFilter ref="A4:AJ50" xr:uid="{00000000-0009-0000-0000-000003000000}"/>
  <pageMargins left="0.7" right="0.7" top="0.75" bottom="0.75" header="0.3" footer="0.3"/>
  <pageSetup paperSize="9" orientation="portrait" horizontalDpi="180" verticalDpi="18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Продление ППП</vt:lpstr>
      <vt:lpstr>Расшифровка лота ДО</vt:lpstr>
      <vt:lpstr>Расшиф.лота с изм.на 01.09.2022</vt:lpstr>
      <vt:lpstr>Лот № 1 расшифровка для ЮД</vt:lpstr>
      <vt:lpstr>'Продление ППП'!Область_печати</vt:lpstr>
      <vt:lpstr>'Расшиф.лота с изм.на 01.09.2022'!Область_печати</vt:lpstr>
      <vt:lpstr>'Расшифровка лота ДО'!Область_печати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2022-11-02T14:41:22Z</dcterms:modified>
</cp:coreProperties>
</file>